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00" yWindow="0" windowWidth="35120" windowHeight="20080" tabRatio="500" activeTab="2"/>
  </bookViews>
  <sheets>
    <sheet name="table_information" sheetId="6" r:id="rId1"/>
    <sheet name="analyse_minerale" sheetId="5" r:id="rId2"/>
    <sheet name="analyse_biologique" sheetId="7" r:id="rId3"/>
    <sheet name="irrigation" sheetId="8" r:id="rId4"/>
    <sheet name="table_echange" sheetId="2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2" i="5" l="1"/>
  <c r="F91" i="5"/>
  <c r="F83" i="5"/>
  <c r="E65" i="5"/>
  <c r="F64" i="5"/>
  <c r="C68" i="5"/>
  <c r="C69" i="5"/>
  <c r="C67" i="5"/>
  <c r="E9" i="5"/>
  <c r="B93" i="5"/>
  <c r="D91" i="5"/>
  <c r="D83" i="5"/>
  <c r="D86" i="5"/>
  <c r="D84" i="5"/>
  <c r="D64" i="5"/>
  <c r="D75" i="5"/>
  <c r="C38" i="5"/>
  <c r="E38" i="5"/>
  <c r="G38" i="5"/>
  <c r="C39" i="5"/>
  <c r="E37" i="5"/>
  <c r="C48" i="5"/>
  <c r="E47" i="5"/>
  <c r="D5" i="8"/>
  <c r="D9" i="8"/>
  <c r="D10" i="8"/>
  <c r="D13" i="8"/>
  <c r="D14" i="8"/>
  <c r="D16" i="8"/>
  <c r="D3" i="8"/>
  <c r="D4" i="8"/>
  <c r="D15" i="8"/>
  <c r="D17" i="8"/>
  <c r="D4" i="5"/>
  <c r="G4" i="5"/>
  <c r="D12" i="8"/>
  <c r="D32" i="5"/>
  <c r="C55" i="5"/>
  <c r="D8" i="5"/>
  <c r="G8" i="5"/>
  <c r="G25" i="5"/>
  <c r="D6" i="5"/>
  <c r="G6" i="5"/>
  <c r="B51" i="6"/>
  <c r="B50" i="6"/>
  <c r="B49" i="6"/>
  <c r="D10" i="5"/>
  <c r="G10" i="5"/>
  <c r="B48" i="6"/>
  <c r="C44" i="5"/>
  <c r="C57" i="5"/>
  <c r="C56" i="5"/>
  <c r="D94" i="5"/>
  <c r="D96" i="5"/>
  <c r="D95" i="5"/>
  <c r="D74" i="5"/>
  <c r="D73" i="5"/>
</calcChain>
</file>

<file path=xl/sharedStrings.xml><?xml version="1.0" encoding="utf-8"?>
<sst xmlns="http://schemas.openxmlformats.org/spreadsheetml/2006/main" count="362" uniqueCount="184">
  <si>
    <t>Mg</t>
  </si>
  <si>
    <t>Mgo</t>
  </si>
  <si>
    <t>multiplier par</t>
  </si>
  <si>
    <t>CaO</t>
  </si>
  <si>
    <t>Ca</t>
  </si>
  <si>
    <t>   •  C.E.C. &gt; 25 meq pour 100 g:</t>
  </si>
  <si>
    <t>MgO</t>
  </si>
  <si>
    <t>Un apport de magnésie est conseillé si la teneur du sol est inférieure à la valeur seuil.</t>
  </si>
  <si>
    <t>K2O</t>
  </si>
  <si>
    <t>K</t>
  </si>
  <si>
    <t>P</t>
  </si>
  <si>
    <t>Ca/Mg</t>
  </si>
  <si>
    <t>K/Mg</t>
  </si>
  <si>
    <t>Valeur MgO</t>
  </si>
  <si>
    <t>Valeur Mg</t>
  </si>
  <si>
    <t>Valeur CaO</t>
  </si>
  <si>
    <t>Valeur Ca</t>
  </si>
  <si>
    <t>Valeur K</t>
  </si>
  <si>
    <t>Valeur P</t>
  </si>
  <si>
    <t xml:space="preserve">Seuils </t>
  </si>
  <si>
    <t>=</t>
  </si>
  <si>
    <t>Valeur K2O</t>
  </si>
  <si>
    <t>Valeur P2O5</t>
  </si>
  <si>
    <t>K20</t>
  </si>
  <si>
    <t>P2O5</t>
  </si>
  <si>
    <t>K/CEC</t>
  </si>
  <si>
    <t>Mg/CEC</t>
  </si>
  <si>
    <t>Ca/CEC</t>
  </si>
  <si>
    <t>H/CEC</t>
  </si>
  <si>
    <t>S/CEC</t>
  </si>
  <si>
    <t>Calcaire total</t>
  </si>
  <si>
    <t>soit</t>
  </si>
  <si>
    <t>g/Kg</t>
  </si>
  <si>
    <t>%</t>
  </si>
  <si>
    <t>Valeur Seuil</t>
  </si>
  <si>
    <t>Apport en MgO</t>
  </si>
  <si>
    <t>Augmentation du taux</t>
  </si>
  <si>
    <t>-</t>
  </si>
  <si>
    <t>Masse du sol</t>
  </si>
  <si>
    <t>Dose à apporter</t>
  </si>
  <si>
    <t>Dose à ne pas dépasser</t>
  </si>
  <si>
    <t>kg/ha</t>
  </si>
  <si>
    <t>Kg/ha</t>
  </si>
  <si>
    <t>Apport en Ca0</t>
  </si>
  <si>
    <t>Besoin</t>
  </si>
  <si>
    <t>Kg</t>
  </si>
  <si>
    <t>CaO/ha</t>
  </si>
  <si>
    <t xml:space="preserve">ATTENTION ! </t>
  </si>
  <si>
    <t>souhaitable</t>
  </si>
  <si>
    <t>Rapports</t>
  </si>
  <si>
    <t>T1</t>
  </si>
  <si>
    <t>T2</t>
  </si>
  <si>
    <t>T3</t>
  </si>
  <si>
    <t>Valeurs seuils retenues</t>
  </si>
  <si>
    <t>Valeur seuil retenue</t>
  </si>
  <si>
    <t>Culture peu exigeantes</t>
  </si>
  <si>
    <t>Cultures moyennement exigeantes</t>
  </si>
  <si>
    <t>Cultures très exigeantes</t>
  </si>
  <si>
    <t>Valeurs d'apports maximales</t>
  </si>
  <si>
    <t>kg</t>
  </si>
  <si>
    <t>Ca0/ha</t>
  </si>
  <si>
    <t>de produits fins</t>
  </si>
  <si>
    <t>g/kg</t>
  </si>
  <si>
    <t>T/ha</t>
  </si>
  <si>
    <t>meq/100g (cmol/kg)</t>
  </si>
  <si>
    <t>Système de culture </t>
  </si>
  <si>
    <t>Cultures en place lors du prélèvement </t>
  </si>
  <si>
    <t>Surface de la parcelle </t>
  </si>
  <si>
    <t>Altitude </t>
  </si>
  <si>
    <t>Nombre d’années en AB </t>
  </si>
  <si>
    <t>Pente </t>
  </si>
  <si>
    <t>Vitesse de rééssuyage </t>
  </si>
  <si>
    <t>Profondeur du sol </t>
  </si>
  <si>
    <t>Pourcentage de cailloux </t>
  </si>
  <si>
    <t>Référence</t>
  </si>
  <si>
    <t>Cultures N-1</t>
  </si>
  <si>
    <t>Cultures N+1</t>
  </si>
  <si>
    <t>Rendement (T/ha)</t>
  </si>
  <si>
    <t>Pression maladies</t>
  </si>
  <si>
    <t>Pression adventices</t>
  </si>
  <si>
    <t>Fertilisation organique</t>
  </si>
  <si>
    <t>Fertilisation minérale</t>
  </si>
  <si>
    <t>Soit</t>
  </si>
  <si>
    <t>N</t>
  </si>
  <si>
    <t xml:space="preserve">! Ces valeurs sont données à titre indicatif ! </t>
  </si>
  <si>
    <t>P205</t>
  </si>
  <si>
    <t>Besoin estimés pour la culture (en kg)</t>
  </si>
  <si>
    <t>U/ha</t>
  </si>
  <si>
    <t>Valeur pH eau</t>
  </si>
  <si>
    <t>Equilibrage du rapport</t>
  </si>
  <si>
    <t>Potentiel Nutritif du sol</t>
  </si>
  <si>
    <t>NA</t>
  </si>
  <si>
    <t>Attention ! A titre indicatif seulement</t>
  </si>
  <si>
    <t>Type de culture</t>
  </si>
  <si>
    <t>Type de sol</t>
  </si>
  <si>
    <t>Demandeur</t>
  </si>
  <si>
    <t>Analyse texturale</t>
  </si>
  <si>
    <t>Argiles</t>
  </si>
  <si>
    <t>DESCRIPTIF GENERAL</t>
  </si>
  <si>
    <t>Dose :</t>
  </si>
  <si>
    <t xml:space="preserve">       T1(‰): </t>
  </si>
  <si>
    <t>       T2(‰):</t>
  </si>
  <si>
    <t>       T3(‰):</t>
  </si>
  <si>
    <t>   •  C.E.C. &gt; 25 meq  seuil(‰)</t>
  </si>
  <si>
    <t>Na/CEC</t>
  </si>
  <si>
    <t>Valeur MO</t>
  </si>
  <si>
    <t>Profondeur de prélèvements</t>
  </si>
  <si>
    <t>Bilan nutritif estimé à la culture</t>
  </si>
  <si>
    <t>Valeur pH Kcl</t>
  </si>
  <si>
    <t>Limons</t>
  </si>
  <si>
    <t>Sables</t>
  </si>
  <si>
    <t>Plein Champs</t>
  </si>
  <si>
    <t>Valeur MO Libre</t>
  </si>
  <si>
    <t>Valeur MO Liée</t>
  </si>
  <si>
    <t>Teneur en % MO</t>
  </si>
  <si>
    <t>Valeur C/N</t>
  </si>
  <si>
    <t>Taux de saturation</t>
  </si>
  <si>
    <t>Carbone</t>
  </si>
  <si>
    <t>BM</t>
  </si>
  <si>
    <t>mgC/kg</t>
  </si>
  <si>
    <t>%C</t>
  </si>
  <si>
    <t>Carbone minéralisé</t>
  </si>
  <si>
    <t>mg/Kg/28j</t>
  </si>
  <si>
    <t>Indice de minéralisation</t>
  </si>
  <si>
    <t>Cm/BM</t>
  </si>
  <si>
    <t>Azote minéralisé</t>
  </si>
  <si>
    <t>Fourniture Annuelle</t>
  </si>
  <si>
    <t>U</t>
  </si>
  <si>
    <t>Prairies</t>
  </si>
  <si>
    <t>Faible</t>
  </si>
  <si>
    <t>Rapide</t>
  </si>
  <si>
    <t>Moyen</t>
  </si>
  <si>
    <t>faible</t>
  </si>
  <si>
    <t>Teneur du sol</t>
  </si>
  <si>
    <t>Argile</t>
  </si>
  <si>
    <t>Sable</t>
  </si>
  <si>
    <t>Mo</t>
  </si>
  <si>
    <t>Epaisseurs de l'horizon</t>
  </si>
  <si>
    <t>m</t>
  </si>
  <si>
    <t>Taux de refus</t>
  </si>
  <si>
    <t>mm/m</t>
  </si>
  <si>
    <t>RU</t>
  </si>
  <si>
    <t>mm</t>
  </si>
  <si>
    <t>RFU min</t>
  </si>
  <si>
    <t>RFU max</t>
  </si>
  <si>
    <t>RFU moyenne</t>
  </si>
  <si>
    <t>W330 (capacité au champ)</t>
  </si>
  <si>
    <t>W15000 (point de flétrissement)</t>
  </si>
  <si>
    <t>Analyse hydrique</t>
  </si>
  <si>
    <t>Les valeurs à saisir se trouvent dans les celulles orangées, le reste se fait automatiquement</t>
  </si>
  <si>
    <t>type de sol</t>
  </si>
  <si>
    <t>argile lourde</t>
  </si>
  <si>
    <t>argileux</t>
  </si>
  <si>
    <t>argile limono-sableuse</t>
  </si>
  <si>
    <t>argile sableuse</t>
  </si>
  <si>
    <t>limon argilo-sableux</t>
  </si>
  <si>
    <t>limon argileux</t>
  </si>
  <si>
    <t>argilo-sableux</t>
  </si>
  <si>
    <t>limon sablo-argileux</t>
  </si>
  <si>
    <t>limon</t>
  </si>
  <si>
    <t>limon sableux</t>
  </si>
  <si>
    <t>limon pur</t>
  </si>
  <si>
    <t>sable argileux</t>
  </si>
  <si>
    <t>sable argilo-limoneux</t>
  </si>
  <si>
    <t>sable limoneux</t>
  </si>
  <si>
    <t>sableux</t>
  </si>
  <si>
    <t>très sableux</t>
  </si>
  <si>
    <t>Les valeurs à saisir se trouvent dans les celulles orangées</t>
  </si>
  <si>
    <r>
      <t xml:space="preserve">si valeur exessivement élevée, penser à regarder si le calcul prends bien en compte </t>
    </r>
    <r>
      <rPr>
        <sz val="9"/>
        <color theme="5"/>
        <rFont val="Delicious-Roman"/>
      </rPr>
      <t>les taux de saturation en pourcentage</t>
    </r>
  </si>
  <si>
    <t>Analyse minérale</t>
  </si>
  <si>
    <t>Compartiment acido-basique</t>
  </si>
  <si>
    <t>Analyse organique</t>
  </si>
  <si>
    <t>Biomasse microbienne</t>
  </si>
  <si>
    <t>Minéralisation Carbone</t>
  </si>
  <si>
    <t>Minéralisation azote</t>
  </si>
  <si>
    <t>Ne pas modifier cette feuille</t>
  </si>
  <si>
    <t>RU totale de l'horizon</t>
  </si>
  <si>
    <t>Attention, les techniques de dosage extraient toujours plus de CaO qu'il n'en est réellement fixé sur la CEC en terre calcaire, d'où des valeurs de saturation parfois supérieure à 100%</t>
  </si>
  <si>
    <t>C.E.C. &lt;= 25 meq pour 100 g:</t>
  </si>
  <si>
    <t>Valeur CEC Metson</t>
  </si>
  <si>
    <t>RU totale de l'horizon (Refus)</t>
  </si>
  <si>
    <t>K2O/MgO</t>
  </si>
  <si>
    <t>   •  C.E.C. &lt;= 25 meq   seuil(‰)</t>
  </si>
  <si>
    <t>Attention ! 
-Les estimations pour MgO, K2O correspondent au normes de méthodes d'extraction NF X31-108
-P2O5 selon la méthdoe Joret-Hebert
-CEC metson correspond à la norme NF X31-130
-Mo correspond à la norme NF ISO 14235
-Calcaire - CaCO3 correspond à la norme NF ISO 10693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</si>
</sst>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Delicious-Roman"/>
    </font>
    <font>
      <sz val="12"/>
      <color rgb="FF000000"/>
      <name val="Delicious-Roman"/>
    </font>
    <font>
      <b/>
      <sz val="22"/>
      <color theme="1"/>
      <name val="Delicious-Roman"/>
    </font>
    <font>
      <sz val="12"/>
      <name val="Delicious-Roman"/>
    </font>
    <font>
      <sz val="12"/>
      <color theme="0"/>
      <name val="Delicious-Roman"/>
    </font>
    <font>
      <sz val="9"/>
      <color theme="1"/>
      <name val="Delicious-Roman"/>
    </font>
    <font>
      <sz val="9"/>
      <color theme="5"/>
      <name val="Delicious-Roman"/>
    </font>
    <font>
      <sz val="12"/>
      <color theme="0"/>
      <name val="Delicious-Bold"/>
    </font>
    <font>
      <b/>
      <sz val="20"/>
      <color theme="1"/>
      <name val="Delicious-Roman"/>
    </font>
    <font>
      <sz val="9"/>
      <color rgb="FF000000"/>
      <name val="Delicious-Roman"/>
    </font>
    <font>
      <b/>
      <sz val="14"/>
      <color theme="1"/>
      <name val="Delicious-Roman"/>
    </font>
    <font>
      <b/>
      <sz val="20"/>
      <color rgb="FF000000"/>
      <name val="Delicious-Roman"/>
    </font>
    <font>
      <b/>
      <sz val="26"/>
      <color theme="1"/>
      <name val="Delicious-Roman"/>
    </font>
    <font>
      <sz val="10"/>
      <color theme="1"/>
      <name val="Delicious-Roman"/>
    </font>
    <font>
      <b/>
      <sz val="12"/>
      <color theme="0"/>
      <name val="Delicious-Roman"/>
    </font>
    <font>
      <b/>
      <sz val="8"/>
      <color theme="0"/>
      <name val="Delicious-Roman"/>
    </font>
    <font>
      <b/>
      <sz val="12"/>
      <color theme="5"/>
      <name val="Delicious-Roman"/>
    </font>
    <font>
      <b/>
      <sz val="12"/>
      <name val="Delicious-Roman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5" fillId="3" borderId="0" xfId="0" applyFont="1" applyFill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8" borderId="9" xfId="0" applyFont="1" applyFill="1" applyBorder="1"/>
    <xf numFmtId="0" fontId="5" fillId="3" borderId="10" xfId="0" applyFont="1" applyFill="1" applyBorder="1"/>
    <xf numFmtId="166" fontId="5" fillId="3" borderId="10" xfId="0" applyNumberFormat="1" applyFont="1" applyFill="1" applyBorder="1"/>
    <xf numFmtId="0" fontId="6" fillId="3" borderId="10" xfId="0" applyFont="1" applyFill="1" applyBorder="1"/>
    <xf numFmtId="164" fontId="5" fillId="3" borderId="10" xfId="0" applyNumberFormat="1" applyFont="1" applyFill="1" applyBorder="1"/>
    <xf numFmtId="0" fontId="5" fillId="3" borderId="11" xfId="0" applyFont="1" applyFill="1" applyBorder="1"/>
    <xf numFmtId="0" fontId="7" fillId="3" borderId="0" xfId="0" applyFont="1" applyFill="1" applyAlignment="1">
      <alignment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2" fontId="5" fillId="3" borderId="13" xfId="0" applyNumberFormat="1" applyFont="1" applyFill="1" applyBorder="1"/>
    <xf numFmtId="164" fontId="5" fillId="3" borderId="13" xfId="0" applyNumberFormat="1" applyFont="1" applyFill="1" applyBorder="1"/>
    <xf numFmtId="0" fontId="5" fillId="3" borderId="14" xfId="0" applyFont="1" applyFill="1" applyBorder="1"/>
    <xf numFmtId="2" fontId="5" fillId="3" borderId="10" xfId="0" applyNumberFormat="1" applyFont="1" applyFill="1" applyBorder="1"/>
    <xf numFmtId="166" fontId="5" fillId="8" borderId="9" xfId="0" applyNumberFormat="1" applyFont="1" applyFill="1" applyBorder="1"/>
    <xf numFmtId="2" fontId="5" fillId="3" borderId="12" xfId="0" applyNumberFormat="1" applyFont="1" applyFill="1" applyBorder="1"/>
    <xf numFmtId="0" fontId="5" fillId="3" borderId="4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8" borderId="4" xfId="0" applyFont="1" applyFill="1" applyBorder="1"/>
    <xf numFmtId="2" fontId="5" fillId="3" borderId="4" xfId="0" applyNumberFormat="1" applyFont="1" applyFill="1" applyBorder="1"/>
    <xf numFmtId="2" fontId="5" fillId="3" borderId="0" xfId="0" applyNumberFormat="1" applyFont="1" applyFill="1" applyBorder="1"/>
    <xf numFmtId="164" fontId="5" fillId="3" borderId="0" xfId="0" applyNumberFormat="1" applyFont="1" applyFill="1" applyBorder="1"/>
    <xf numFmtId="2" fontId="5" fillId="8" borderId="4" xfId="0" applyNumberFormat="1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2" fontId="8" fillId="3" borderId="0" xfId="0" applyNumberFormat="1" applyFont="1" applyFill="1" applyBorder="1"/>
    <xf numFmtId="1" fontId="5" fillId="8" borderId="0" xfId="0" applyNumberFormat="1" applyFont="1" applyFill="1" applyBorder="1"/>
    <xf numFmtId="2" fontId="5" fillId="3" borderId="2" xfId="0" applyNumberFormat="1" applyFont="1" applyFill="1" applyBorder="1"/>
    <xf numFmtId="0" fontId="5" fillId="8" borderId="0" xfId="0" applyFont="1" applyFill="1" applyBorder="1"/>
    <xf numFmtId="0" fontId="6" fillId="4" borderId="4" xfId="0" applyFont="1" applyFill="1" applyBorder="1"/>
    <xf numFmtId="0" fontId="6" fillId="4" borderId="0" xfId="0" applyFont="1" applyFill="1" applyBorder="1"/>
    <xf numFmtId="0" fontId="6" fillId="7" borderId="0" xfId="0" applyFont="1" applyFill="1" applyBorder="1"/>
    <xf numFmtId="0" fontId="6" fillId="4" borderId="0" xfId="0" applyFont="1" applyFill="1"/>
    <xf numFmtId="0" fontId="5" fillId="3" borderId="6" xfId="0" applyFont="1" applyFill="1" applyBorder="1"/>
    <xf numFmtId="10" fontId="5" fillId="8" borderId="7" xfId="0" applyNumberFormat="1" applyFont="1" applyFill="1" applyBorder="1"/>
    <xf numFmtId="10" fontId="5" fillId="3" borderId="0" xfId="0" applyNumberFormat="1" applyFont="1" applyFill="1"/>
    <xf numFmtId="165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/>
    <xf numFmtId="1" fontId="5" fillId="3" borderId="0" xfId="0" applyNumberFormat="1" applyFont="1" applyFill="1" applyBorder="1"/>
    <xf numFmtId="0" fontId="5" fillId="3" borderId="0" xfId="0" applyFont="1" applyFill="1" applyBorder="1" applyAlignment="1">
      <alignment horizontal="right"/>
    </xf>
    <xf numFmtId="164" fontId="5" fillId="3" borderId="7" xfId="0" applyNumberFormat="1" applyFont="1" applyFill="1" applyBorder="1"/>
    <xf numFmtId="0" fontId="5" fillId="3" borderId="7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2" fontId="5" fillId="2" borderId="0" xfId="0" applyNumberFormat="1" applyFont="1" applyFill="1" applyBorder="1"/>
    <xf numFmtId="0" fontId="5" fillId="3" borderId="7" xfId="0" applyFont="1" applyFill="1" applyBorder="1" applyAlignment="1">
      <alignment horizontal="center"/>
    </xf>
    <xf numFmtId="2" fontId="8" fillId="2" borderId="0" xfId="0" applyNumberFormat="1" applyFont="1" applyFill="1" applyBorder="1"/>
    <xf numFmtId="0" fontId="9" fillId="9" borderId="1" xfId="0" applyFont="1" applyFill="1" applyBorder="1"/>
    <xf numFmtId="0" fontId="5" fillId="3" borderId="4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8" fillId="3" borderId="6" xfId="0" applyFont="1" applyFill="1" applyBorder="1"/>
    <xf numFmtId="0" fontId="9" fillId="9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166" fontId="5" fillId="3" borderId="0" xfId="0" applyNumberFormat="1" applyFont="1" applyFill="1" applyBorder="1"/>
    <xf numFmtId="166" fontId="5" fillId="8" borderId="6" xfId="0" applyNumberFormat="1" applyFont="1" applyFill="1" applyBorder="1"/>
    <xf numFmtId="166" fontId="5" fillId="3" borderId="7" xfId="0" applyNumberFormat="1" applyFont="1" applyFill="1" applyBorder="1"/>
    <xf numFmtId="0" fontId="7" fillId="3" borderId="0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2" fontId="9" fillId="9" borderId="1" xfId="0" applyNumberFormat="1" applyFont="1" applyFill="1" applyBorder="1"/>
    <xf numFmtId="0" fontId="5" fillId="8" borderId="0" xfId="0" applyFont="1" applyFill="1"/>
    <xf numFmtId="0" fontId="5" fillId="3" borderId="3" xfId="0" applyFont="1" applyFill="1" applyBorder="1" applyAlignment="1">
      <alignment horizontal="right"/>
    </xf>
    <xf numFmtId="0" fontId="5" fillId="8" borderId="5" xfId="0" applyFont="1" applyFill="1" applyBorder="1"/>
    <xf numFmtId="0" fontId="5" fillId="8" borderId="8" xfId="0" applyFont="1" applyFill="1" applyBorder="1"/>
    <xf numFmtId="0" fontId="6" fillId="3" borderId="15" xfId="0" applyFont="1" applyFill="1" applyBorder="1" applyAlignment="1">
      <alignment horizontal="justify" vertical="center"/>
    </xf>
    <xf numFmtId="0" fontId="5" fillId="8" borderId="16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justify" vertical="center"/>
    </xf>
    <xf numFmtId="0" fontId="5" fillId="8" borderId="3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justify" vertical="center"/>
    </xf>
    <xf numFmtId="0" fontId="5" fillId="8" borderId="5" xfId="0" applyFont="1" applyFill="1" applyBorder="1" applyAlignment="1">
      <alignment horizontal="right"/>
    </xf>
    <xf numFmtId="9" fontId="5" fillId="8" borderId="5" xfId="0" applyNumberFormat="1" applyFont="1" applyFill="1" applyBorder="1" applyAlignment="1">
      <alignment horizontal="right"/>
    </xf>
    <xf numFmtId="0" fontId="6" fillId="3" borderId="6" xfId="0" applyFont="1" applyFill="1" applyBorder="1" applyAlignment="1">
      <alignment horizontal="justify" vertical="center"/>
    </xf>
    <xf numFmtId="0" fontId="5" fillId="8" borderId="8" xfId="0" applyFont="1" applyFill="1" applyBorder="1" applyAlignment="1">
      <alignment horizontal="right"/>
    </xf>
    <xf numFmtId="0" fontId="5" fillId="8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justify" vertical="center"/>
    </xf>
    <xf numFmtId="0" fontId="5" fillId="8" borderId="0" xfId="0" applyFont="1" applyFill="1" applyBorder="1" applyAlignment="1">
      <alignment horizontal="center"/>
    </xf>
    <xf numFmtId="0" fontId="8" fillId="3" borderId="15" xfId="0" applyFont="1" applyFill="1" applyBorder="1"/>
    <xf numFmtId="0" fontId="5" fillId="8" borderId="16" xfId="0" applyFont="1" applyFill="1" applyBorder="1"/>
    <xf numFmtId="0" fontId="5" fillId="3" borderId="8" xfId="0" applyFont="1" applyFill="1" applyBorder="1" applyAlignment="1">
      <alignment horizontal="center"/>
    </xf>
    <xf numFmtId="0" fontId="8" fillId="5" borderId="4" xfId="0" applyFont="1" applyFill="1" applyBorder="1"/>
    <xf numFmtId="0" fontId="8" fillId="5" borderId="0" xfId="0" applyFont="1" applyFill="1" applyBorder="1"/>
    <xf numFmtId="2" fontId="6" fillId="7" borderId="0" xfId="0" applyNumberFormat="1" applyFont="1" applyFill="1" applyBorder="1" applyAlignment="1">
      <alignment horizontal="right" vertical="center"/>
    </xf>
    <xf numFmtId="0" fontId="8" fillId="5" borderId="5" xfId="0" applyFont="1" applyFill="1" applyBorder="1"/>
    <xf numFmtId="0" fontId="8" fillId="3" borderId="4" xfId="0" applyFont="1" applyFill="1" applyBorder="1"/>
    <xf numFmtId="0" fontId="8" fillId="3" borderId="0" xfId="0" applyFont="1" applyFill="1" applyBorder="1"/>
    <xf numFmtId="0" fontId="8" fillId="3" borderId="5" xfId="0" applyFont="1" applyFill="1" applyBorder="1"/>
    <xf numFmtId="0" fontId="8" fillId="5" borderId="6" xfId="0" applyFont="1" applyFill="1" applyBorder="1"/>
    <xf numFmtId="0" fontId="8" fillId="5" borderId="7" xfId="0" applyFont="1" applyFill="1" applyBorder="1"/>
    <xf numFmtId="9" fontId="6" fillId="7" borderId="7" xfId="0" applyNumberFormat="1" applyFont="1" applyFill="1" applyBorder="1" applyAlignment="1">
      <alignment horizontal="right" vertical="center"/>
    </xf>
    <xf numFmtId="0" fontId="8" fillId="5" borderId="8" xfId="0" applyFont="1" applyFill="1" applyBorder="1"/>
    <xf numFmtId="2" fontId="6" fillId="6" borderId="0" xfId="0" applyNumberFormat="1" applyFont="1" applyFill="1" applyBorder="1" applyAlignment="1">
      <alignment horizontal="right" vertical="center"/>
    </xf>
    <xf numFmtId="0" fontId="8" fillId="3" borderId="1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164" fontId="5" fillId="3" borderId="0" xfId="0" applyNumberFormat="1" applyFont="1" applyFill="1"/>
    <xf numFmtId="164" fontId="8" fillId="5" borderId="0" xfId="0" applyNumberFormat="1" applyFont="1" applyFill="1" applyBorder="1"/>
    <xf numFmtId="1" fontId="6" fillId="7" borderId="0" xfId="0" applyNumberFormat="1" applyFont="1" applyFill="1" applyBorder="1" applyAlignment="1">
      <alignment horizontal="center"/>
    </xf>
    <xf numFmtId="1" fontId="6" fillId="7" borderId="5" xfId="0" applyNumberFormat="1" applyFont="1" applyFill="1" applyBorder="1" applyAlignment="1">
      <alignment horizontal="center"/>
    </xf>
    <xf numFmtId="0" fontId="6" fillId="7" borderId="6" xfId="0" applyFont="1" applyFill="1" applyBorder="1"/>
    <xf numFmtId="0" fontId="6" fillId="4" borderId="7" xfId="0" applyFont="1" applyFill="1" applyBorder="1"/>
    <xf numFmtId="1" fontId="6" fillId="7" borderId="7" xfId="0" applyNumberFormat="1" applyFont="1" applyFill="1" applyBorder="1" applyAlignment="1">
      <alignment horizontal="center"/>
    </xf>
    <xf numFmtId="1" fontId="6" fillId="7" borderId="8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7" borderId="6" xfId="0" applyNumberFormat="1" applyFont="1" applyFill="1" applyBorder="1"/>
    <xf numFmtId="164" fontId="6" fillId="7" borderId="7" xfId="0" applyNumberFormat="1" applyFont="1" applyFill="1" applyBorder="1" applyAlignment="1">
      <alignment horizontal="center"/>
    </xf>
    <xf numFmtId="2" fontId="6" fillId="4" borderId="0" xfId="0" applyNumberFormat="1" applyFont="1" applyFill="1" applyBorder="1"/>
    <xf numFmtId="2" fontId="6" fillId="7" borderId="6" xfId="0" applyNumberFormat="1" applyFont="1" applyFill="1" applyBorder="1"/>
    <xf numFmtId="0" fontId="5" fillId="8" borderId="7" xfId="0" applyFont="1" applyFill="1" applyBorder="1"/>
    <xf numFmtId="0" fontId="16" fillId="4" borderId="0" xfId="0" applyFont="1" applyFill="1" applyAlignment="1">
      <alignment vertical="center"/>
    </xf>
    <xf numFmtId="0" fontId="9" fillId="9" borderId="1" xfId="0" applyFont="1" applyFill="1" applyBorder="1" applyAlignment="1"/>
    <xf numFmtId="0" fontId="9" fillId="9" borderId="2" xfId="0" applyFont="1" applyFill="1" applyBorder="1" applyAlignment="1"/>
    <xf numFmtId="0" fontId="9" fillId="9" borderId="3" xfId="0" applyFont="1" applyFill="1" applyBorder="1" applyAlignment="1"/>
    <xf numFmtId="0" fontId="19" fillId="9" borderId="2" xfId="0" applyFont="1" applyFill="1" applyBorder="1" applyAlignment="1"/>
    <xf numFmtId="0" fontId="19" fillId="9" borderId="3" xfId="0" applyFont="1" applyFill="1" applyBorder="1" applyAlignment="1"/>
    <xf numFmtId="0" fontId="9" fillId="3" borderId="0" xfId="0" applyFont="1" applyFill="1" applyBorder="1"/>
    <xf numFmtId="166" fontId="5" fillId="2" borderId="0" xfId="0" applyNumberFormat="1" applyFont="1" applyFill="1" applyBorder="1"/>
    <xf numFmtId="166" fontId="5" fillId="2" borderId="7" xfId="0" applyNumberFormat="1" applyFont="1" applyFill="1" applyBorder="1"/>
    <xf numFmtId="0" fontId="21" fillId="3" borderId="4" xfId="0" applyFont="1" applyFill="1" applyBorder="1"/>
    <xf numFmtId="1" fontId="5" fillId="3" borderId="5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/>
    <xf numFmtId="0" fontId="7" fillId="3" borderId="0" xfId="0" applyFont="1" applyFill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 wrapText="1" shrinkToFit="1"/>
    </xf>
    <xf numFmtId="0" fontId="10" fillId="3" borderId="5" xfId="0" applyFont="1" applyFill="1" applyBorder="1" applyAlignment="1">
      <alignment horizontal="left" wrapText="1" shrinkToFit="1"/>
    </xf>
    <xf numFmtId="0" fontId="5" fillId="3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20" fillId="9" borderId="2" xfId="0" applyFont="1" applyFill="1" applyBorder="1" applyAlignment="1">
      <alignment horizontal="center"/>
    </xf>
    <xf numFmtId="0" fontId="20" fillId="9" borderId="3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8" fillId="8" borderId="0" xfId="0" applyFont="1" applyFill="1" applyBorder="1" applyAlignment="1">
      <alignment horizontal="center"/>
    </xf>
    <xf numFmtId="2" fontId="9" fillId="10" borderId="15" xfId="0" applyNumberFormat="1" applyFont="1" applyFill="1" applyBorder="1" applyAlignment="1">
      <alignment horizontal="center"/>
    </xf>
    <xf numFmtId="2" fontId="9" fillId="10" borderId="17" xfId="0" applyNumberFormat="1" applyFont="1" applyFill="1" applyBorder="1" applyAlignment="1">
      <alignment horizontal="center"/>
    </xf>
    <xf numFmtId="2" fontId="9" fillId="10" borderId="16" xfId="0" applyNumberFormat="1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8" zoomScale="175" zoomScaleNormal="175" zoomScalePageLayoutView="175" workbookViewId="0">
      <selection activeCell="C19" sqref="C19"/>
    </sheetView>
  </sheetViews>
  <sheetFormatPr baseColWidth="10" defaultRowHeight="15" x14ac:dyDescent="0"/>
  <cols>
    <col min="1" max="1" width="32.33203125" style="2" customWidth="1"/>
    <col min="2" max="2" width="14.6640625" style="2" customWidth="1"/>
    <col min="3" max="3" width="11" style="2" customWidth="1"/>
    <col min="4" max="4" width="8" style="2" customWidth="1"/>
    <col min="5" max="5" width="8.33203125" style="2" customWidth="1"/>
    <col min="6" max="6" width="11.33203125" style="2" customWidth="1"/>
    <col min="7" max="16384" width="10.83203125" style="2"/>
  </cols>
  <sheetData>
    <row r="1" spans="1:12">
      <c r="A1" s="58" t="s">
        <v>98</v>
      </c>
      <c r="C1" s="2" t="s">
        <v>94</v>
      </c>
      <c r="D1" s="67" t="s">
        <v>164</v>
      </c>
      <c r="E1" s="67"/>
      <c r="F1" s="2" t="s">
        <v>95</v>
      </c>
      <c r="G1" s="67"/>
      <c r="H1" s="67"/>
      <c r="I1" s="67"/>
      <c r="J1" s="67"/>
      <c r="K1" s="67"/>
      <c r="L1" s="67"/>
    </row>
    <row r="3" spans="1:12">
      <c r="A3" s="84" t="s">
        <v>74</v>
      </c>
      <c r="B3" s="85"/>
    </row>
    <row r="4" spans="1:12" ht="15" customHeight="1">
      <c r="E4" s="131" t="s">
        <v>167</v>
      </c>
      <c r="F4" s="131"/>
      <c r="G4" s="131"/>
      <c r="H4" s="131"/>
      <c r="I4" s="131"/>
    </row>
    <row r="5" spans="1:12" ht="15" customHeight="1">
      <c r="A5" s="56" t="s">
        <v>96</v>
      </c>
      <c r="B5" s="68" t="s">
        <v>33</v>
      </c>
      <c r="E5" s="131"/>
      <c r="F5" s="131"/>
      <c r="G5" s="131"/>
      <c r="H5" s="131"/>
      <c r="I5" s="131"/>
    </row>
    <row r="6" spans="1:12" ht="15" customHeight="1">
      <c r="A6" s="21" t="s">
        <v>97</v>
      </c>
      <c r="B6" s="69">
        <v>4.2</v>
      </c>
      <c r="E6" s="131"/>
      <c r="F6" s="131"/>
      <c r="G6" s="131"/>
      <c r="H6" s="131"/>
      <c r="I6" s="131"/>
    </row>
    <row r="7" spans="1:12" ht="15" customHeight="1">
      <c r="A7" s="21" t="s">
        <v>109</v>
      </c>
      <c r="B7" s="69">
        <v>22</v>
      </c>
      <c r="E7" s="131"/>
      <c r="F7" s="131"/>
      <c r="G7" s="131"/>
      <c r="H7" s="131"/>
      <c r="I7" s="131"/>
    </row>
    <row r="8" spans="1:12" ht="15" customHeight="1">
      <c r="A8" s="39" t="s">
        <v>110</v>
      </c>
      <c r="B8" s="70">
        <v>73.8</v>
      </c>
      <c r="E8" s="131"/>
      <c r="F8" s="131"/>
      <c r="G8" s="131"/>
      <c r="H8" s="131"/>
      <c r="I8" s="131"/>
    </row>
    <row r="9" spans="1:12" ht="15" customHeight="1">
      <c r="E9" s="131"/>
      <c r="F9" s="131"/>
      <c r="G9" s="131"/>
      <c r="H9" s="131"/>
      <c r="I9" s="131"/>
    </row>
    <row r="10" spans="1:12">
      <c r="A10" s="71" t="s">
        <v>65</v>
      </c>
      <c r="B10" s="72" t="s">
        <v>111</v>
      </c>
    </row>
    <row r="12" spans="1:12">
      <c r="A12" s="73" t="s">
        <v>67</v>
      </c>
      <c r="B12" s="74">
        <v>0.5</v>
      </c>
    </row>
    <row r="13" spans="1:12">
      <c r="A13" s="75" t="s">
        <v>68</v>
      </c>
      <c r="B13" s="76">
        <v>148</v>
      </c>
    </row>
    <row r="14" spans="1:12">
      <c r="A14" s="75" t="s">
        <v>69</v>
      </c>
      <c r="B14" s="76" t="s">
        <v>37</v>
      </c>
    </row>
    <row r="15" spans="1:12">
      <c r="A15" s="75" t="s">
        <v>70</v>
      </c>
      <c r="B15" s="76" t="s">
        <v>129</v>
      </c>
    </row>
    <row r="16" spans="1:12">
      <c r="A16" s="75" t="s">
        <v>71</v>
      </c>
      <c r="B16" s="76" t="s">
        <v>130</v>
      </c>
    </row>
    <row r="17" spans="1:6">
      <c r="A17" s="75" t="s">
        <v>72</v>
      </c>
      <c r="B17" s="76" t="s">
        <v>131</v>
      </c>
    </row>
    <row r="18" spans="1:6">
      <c r="A18" s="75" t="s">
        <v>73</v>
      </c>
      <c r="B18" s="77" t="s">
        <v>132</v>
      </c>
    </row>
    <row r="19" spans="1:6">
      <c r="A19" s="78" t="s">
        <v>106</v>
      </c>
      <c r="B19" s="79">
        <v>25</v>
      </c>
    </row>
    <row r="21" spans="1:6" ht="18" customHeight="1">
      <c r="A21" s="73" t="s">
        <v>66</v>
      </c>
      <c r="B21" s="74" t="s">
        <v>128</v>
      </c>
    </row>
    <row r="22" spans="1:6">
      <c r="A22" s="75" t="s">
        <v>77</v>
      </c>
      <c r="B22" s="76" t="s">
        <v>37</v>
      </c>
    </row>
    <row r="23" spans="1:6">
      <c r="A23" s="75" t="s">
        <v>75</v>
      </c>
      <c r="B23" s="76" t="s">
        <v>37</v>
      </c>
    </row>
    <row r="24" spans="1:6">
      <c r="A24" s="78" t="s">
        <v>76</v>
      </c>
      <c r="B24" s="79" t="s">
        <v>37</v>
      </c>
    </row>
    <row r="26" spans="1:6">
      <c r="A26" s="73" t="s">
        <v>78</v>
      </c>
      <c r="B26" s="74" t="s">
        <v>129</v>
      </c>
    </row>
    <row r="27" spans="1:6">
      <c r="A27" s="78" t="s">
        <v>79</v>
      </c>
      <c r="B27" s="79" t="s">
        <v>129</v>
      </c>
    </row>
    <row r="29" spans="1:6">
      <c r="A29" s="73" t="s">
        <v>80</v>
      </c>
      <c r="B29" s="80" t="s">
        <v>91</v>
      </c>
      <c r="C29" s="50" t="s">
        <v>99</v>
      </c>
      <c r="D29" s="80" t="s">
        <v>91</v>
      </c>
      <c r="E29" s="81" t="s">
        <v>63</v>
      </c>
      <c r="F29" s="49"/>
    </row>
    <row r="30" spans="1:6">
      <c r="A30" s="75"/>
      <c r="B30" s="43"/>
      <c r="C30" s="43"/>
      <c r="D30" s="43"/>
      <c r="E30" s="59"/>
      <c r="F30" s="49"/>
    </row>
    <row r="31" spans="1:6">
      <c r="A31" s="75" t="s">
        <v>82</v>
      </c>
      <c r="B31" s="43" t="s">
        <v>83</v>
      </c>
      <c r="C31" s="43" t="s">
        <v>85</v>
      </c>
      <c r="D31" s="43" t="s">
        <v>8</v>
      </c>
      <c r="E31" s="59"/>
      <c r="F31" s="49"/>
    </row>
    <row r="32" spans="1:6">
      <c r="A32" s="82" t="s">
        <v>84</v>
      </c>
      <c r="B32" s="43" t="s">
        <v>91</v>
      </c>
      <c r="C32" s="43" t="s">
        <v>91</v>
      </c>
      <c r="D32" s="43" t="s">
        <v>91</v>
      </c>
      <c r="E32" s="59"/>
      <c r="F32" s="49"/>
    </row>
    <row r="33" spans="1:6">
      <c r="A33" s="21"/>
      <c r="B33" s="43"/>
      <c r="C33" s="43"/>
      <c r="D33" s="43"/>
      <c r="E33" s="59"/>
      <c r="F33" s="49"/>
    </row>
    <row r="34" spans="1:6">
      <c r="A34" s="75" t="s">
        <v>81</v>
      </c>
      <c r="B34" s="83" t="s">
        <v>91</v>
      </c>
      <c r="C34" s="43" t="s">
        <v>99</v>
      </c>
      <c r="D34" s="83" t="s">
        <v>91</v>
      </c>
      <c r="E34" s="59" t="s">
        <v>42</v>
      </c>
      <c r="F34" s="49"/>
    </row>
    <row r="35" spans="1:6">
      <c r="A35" s="75"/>
      <c r="B35" s="43"/>
      <c r="C35" s="43"/>
      <c r="D35" s="43"/>
      <c r="E35" s="59"/>
      <c r="F35" s="49"/>
    </row>
    <row r="36" spans="1:6">
      <c r="A36" s="75" t="s">
        <v>82</v>
      </c>
      <c r="B36" s="43" t="s">
        <v>83</v>
      </c>
      <c r="C36" s="43" t="s">
        <v>10</v>
      </c>
      <c r="D36" s="43" t="s">
        <v>8</v>
      </c>
      <c r="E36" s="59" t="s">
        <v>6</v>
      </c>
      <c r="F36" s="49"/>
    </row>
    <row r="37" spans="1:6">
      <c r="A37" s="39" t="s">
        <v>87</v>
      </c>
      <c r="B37" s="52" t="s">
        <v>91</v>
      </c>
      <c r="C37" s="52" t="s">
        <v>91</v>
      </c>
      <c r="D37" s="52" t="s">
        <v>91</v>
      </c>
      <c r="E37" s="86" t="s">
        <v>91</v>
      </c>
      <c r="F37" s="49"/>
    </row>
    <row r="38" spans="1:6">
      <c r="B38" s="49"/>
      <c r="C38" s="49"/>
      <c r="D38" s="49"/>
      <c r="E38" s="49"/>
      <c r="F38" s="49"/>
    </row>
    <row r="39" spans="1:6">
      <c r="A39" s="3" t="s">
        <v>86</v>
      </c>
      <c r="B39" s="50" t="s">
        <v>91</v>
      </c>
      <c r="C39" s="50"/>
      <c r="D39" s="50"/>
      <c r="E39" s="50"/>
      <c r="F39" s="81"/>
    </row>
    <row r="40" spans="1:6">
      <c r="A40" s="21"/>
      <c r="B40" s="43" t="s">
        <v>83</v>
      </c>
      <c r="C40" s="43" t="s">
        <v>10</v>
      </c>
      <c r="D40" s="43" t="s">
        <v>9</v>
      </c>
      <c r="E40" s="43" t="s">
        <v>0</v>
      </c>
      <c r="F40" s="59" t="s">
        <v>3</v>
      </c>
    </row>
    <row r="41" spans="1:6">
      <c r="A41" s="39" t="s">
        <v>87</v>
      </c>
      <c r="B41" s="52" t="s">
        <v>91</v>
      </c>
      <c r="C41" s="52" t="s">
        <v>91</v>
      </c>
      <c r="D41" s="52" t="s">
        <v>91</v>
      </c>
      <c r="E41" s="52" t="s">
        <v>91</v>
      </c>
      <c r="F41" s="86" t="s">
        <v>91</v>
      </c>
    </row>
    <row r="42" spans="1:6">
      <c r="A42" s="22"/>
      <c r="B42" s="43"/>
      <c r="C42" s="43"/>
      <c r="D42" s="43"/>
      <c r="E42" s="43"/>
      <c r="F42" s="43"/>
    </row>
    <row r="43" spans="1:6">
      <c r="A43" s="3" t="s">
        <v>107</v>
      </c>
      <c r="B43" s="50" t="s">
        <v>83</v>
      </c>
      <c r="C43" s="50" t="s">
        <v>10</v>
      </c>
      <c r="D43" s="50" t="s">
        <v>9</v>
      </c>
      <c r="E43" s="50" t="s">
        <v>0</v>
      </c>
      <c r="F43" s="81" t="s">
        <v>3</v>
      </c>
    </row>
    <row r="44" spans="1:6">
      <c r="A44" s="39" t="s">
        <v>87</v>
      </c>
      <c r="B44" s="52" t="s">
        <v>91</v>
      </c>
      <c r="C44" s="52" t="s">
        <v>91</v>
      </c>
      <c r="D44" s="52" t="s">
        <v>91</v>
      </c>
      <c r="E44" s="52" t="s">
        <v>91</v>
      </c>
      <c r="F44" s="86" t="s">
        <v>91</v>
      </c>
    </row>
    <row r="46" spans="1:6">
      <c r="A46" s="3" t="s">
        <v>90</v>
      </c>
      <c r="B46" s="5" t="s">
        <v>87</v>
      </c>
    </row>
    <row r="47" spans="1:6">
      <c r="A47" s="21" t="s">
        <v>83</v>
      </c>
      <c r="B47" s="129">
        <v>461.3</v>
      </c>
    </row>
    <row r="48" spans="1:6">
      <c r="A48" s="21" t="s">
        <v>10</v>
      </c>
      <c r="B48" s="127">
        <f>analyse_minerale!G10</f>
        <v>140.91084000000001</v>
      </c>
    </row>
    <row r="49" spans="1:2">
      <c r="A49" s="21" t="s">
        <v>9</v>
      </c>
      <c r="B49" s="127">
        <f>analyse_minerale!G8</f>
        <v>166.05809999999997</v>
      </c>
    </row>
    <row r="50" spans="1:2">
      <c r="A50" s="21" t="s">
        <v>0</v>
      </c>
      <c r="B50" s="127">
        <f>analyse_minerale!G4</f>
        <v>173.22984</v>
      </c>
    </row>
    <row r="51" spans="1:2">
      <c r="A51" s="39" t="s">
        <v>4</v>
      </c>
      <c r="B51" s="128">
        <f>analyse_minerale!G6</f>
        <v>10783.773000000001</v>
      </c>
    </row>
  </sheetData>
  <dataConsolidate/>
  <mergeCells count="1">
    <mergeCell ref="E4:I9"/>
  </mergeCell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table_echange!$A$12:$A$28</xm:f>
          </x14:formula1>
          <xm:sqref>D1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6"/>
  <sheetViews>
    <sheetView topLeftCell="A6" zoomScale="205" zoomScaleNormal="205" zoomScalePageLayoutView="205" workbookViewId="0">
      <selection activeCell="J20" sqref="J20"/>
    </sheetView>
  </sheetViews>
  <sheetFormatPr baseColWidth="10" defaultRowHeight="15" x14ac:dyDescent="0"/>
  <cols>
    <col min="1" max="1" width="2.33203125" style="2" customWidth="1"/>
    <col min="2" max="2" width="19.6640625" style="2" customWidth="1"/>
    <col min="3" max="3" width="10" style="2" customWidth="1"/>
    <col min="4" max="4" width="15.5" style="2" customWidth="1"/>
    <col min="5" max="5" width="10.83203125" style="2" customWidth="1"/>
    <col min="6" max="6" width="5" style="2" customWidth="1"/>
    <col min="7" max="7" width="9.1640625" style="2" customWidth="1"/>
    <col min="8" max="8" width="10.33203125" style="2" customWidth="1"/>
    <col min="9" max="9" width="10.83203125" style="2"/>
    <col min="10" max="10" width="18.83203125" style="2" customWidth="1"/>
    <col min="11" max="11" width="17.1640625" style="2" customWidth="1"/>
    <col min="12" max="12" width="16.33203125" style="2" customWidth="1"/>
    <col min="13" max="16384" width="10.83203125" style="2"/>
  </cols>
  <sheetData>
    <row r="2" spans="2:14">
      <c r="B2" s="132" t="s">
        <v>169</v>
      </c>
      <c r="C2" s="133"/>
      <c r="D2" s="133"/>
      <c r="E2" s="133"/>
      <c r="F2" s="133"/>
      <c r="G2" s="133"/>
      <c r="H2" s="133"/>
      <c r="J2" s="137" t="s">
        <v>149</v>
      </c>
      <c r="K2" s="137"/>
    </row>
    <row r="3" spans="2:14">
      <c r="B3" s="3" t="s">
        <v>13</v>
      </c>
      <c r="C3" s="4"/>
      <c r="D3" s="4" t="s">
        <v>14</v>
      </c>
      <c r="E3" s="4"/>
      <c r="F3" s="4"/>
      <c r="G3" s="4"/>
      <c r="H3" s="5"/>
      <c r="J3" s="137"/>
      <c r="K3" s="137"/>
    </row>
    <row r="4" spans="2:14" ht="16" customHeight="1" thickBot="1">
      <c r="B4" s="6">
        <v>0.112</v>
      </c>
      <c r="C4" s="7" t="s">
        <v>62</v>
      </c>
      <c r="D4" s="8">
        <f>B4*table_echange!D4</f>
        <v>6.7535999999999999E-2</v>
      </c>
      <c r="E4" s="9" t="s">
        <v>62</v>
      </c>
      <c r="F4" s="7" t="s">
        <v>31</v>
      </c>
      <c r="G4" s="10">
        <f>D4*$D$26</f>
        <v>173.22984</v>
      </c>
      <c r="H4" s="11" t="s">
        <v>87</v>
      </c>
      <c r="J4" s="137"/>
      <c r="K4" s="137"/>
      <c r="L4" s="12"/>
      <c r="M4" s="12"/>
      <c r="N4" s="12"/>
    </row>
    <row r="5" spans="2:14" ht="16" customHeight="1" thickTop="1">
      <c r="B5" s="13" t="s">
        <v>15</v>
      </c>
      <c r="C5" s="14"/>
      <c r="D5" s="15" t="s">
        <v>16</v>
      </c>
      <c r="E5" s="14"/>
      <c r="F5" s="14"/>
      <c r="G5" s="16"/>
      <c r="H5" s="17"/>
      <c r="J5" s="137"/>
      <c r="K5" s="137"/>
      <c r="L5" s="12"/>
      <c r="M5" s="12"/>
      <c r="N5" s="12"/>
    </row>
    <row r="6" spans="2:14" ht="16" customHeight="1" thickBot="1">
      <c r="B6" s="6">
        <v>5.88</v>
      </c>
      <c r="C6" s="7" t="s">
        <v>62</v>
      </c>
      <c r="D6" s="18">
        <f>B6*table_echange!D5</f>
        <v>4.2042000000000002</v>
      </c>
      <c r="E6" s="9" t="s">
        <v>62</v>
      </c>
      <c r="F6" s="7" t="s">
        <v>31</v>
      </c>
      <c r="G6" s="10">
        <f>D6*$D$26</f>
        <v>10783.773000000001</v>
      </c>
      <c r="H6" s="11" t="s">
        <v>87</v>
      </c>
      <c r="J6" s="137"/>
      <c r="K6" s="137"/>
      <c r="L6" s="12"/>
      <c r="M6" s="12"/>
      <c r="N6" s="12"/>
    </row>
    <row r="7" spans="2:14" ht="16" customHeight="1" thickTop="1">
      <c r="B7" s="13" t="s">
        <v>21</v>
      </c>
      <c r="C7" s="14"/>
      <c r="D7" s="14" t="s">
        <v>17</v>
      </c>
      <c r="E7" s="14"/>
      <c r="F7" s="14"/>
      <c r="G7" s="16"/>
      <c r="H7" s="17"/>
      <c r="J7" s="137"/>
      <c r="K7" s="137"/>
      <c r="L7" s="12"/>
      <c r="M7" s="12"/>
      <c r="N7" s="12"/>
    </row>
    <row r="8" spans="2:14" ht="16" customHeight="1" thickBot="1">
      <c r="B8" s="19">
        <v>7.8E-2</v>
      </c>
      <c r="C8" s="7" t="s">
        <v>62</v>
      </c>
      <c r="D8" s="8">
        <f>B8*table_echange!D2</f>
        <v>6.4739999999999992E-2</v>
      </c>
      <c r="E8" s="7" t="s">
        <v>62</v>
      </c>
      <c r="F8" s="7" t="s">
        <v>31</v>
      </c>
      <c r="G8" s="10">
        <f>D8*$D$26</f>
        <v>166.05809999999997</v>
      </c>
      <c r="H8" s="11" t="s">
        <v>87</v>
      </c>
      <c r="J8" s="137"/>
      <c r="K8" s="137"/>
      <c r="L8" s="12"/>
      <c r="M8" s="12"/>
      <c r="N8" s="12"/>
    </row>
    <row r="9" spans="2:14" ht="16" customHeight="1" thickTop="1">
      <c r="B9" s="20" t="s">
        <v>22</v>
      </c>
      <c r="C9" s="14"/>
      <c r="D9" s="15" t="s">
        <v>18</v>
      </c>
      <c r="E9" s="126" t="str">
        <f>IF(OR($B$20&gt;=7.2,$B$20&lt;=5.5),"Attention, faible biodisponibilité.","Bonne biodisponibilité")</f>
        <v>Attention, faible biodisponibilité.</v>
      </c>
      <c r="F9" s="14"/>
      <c r="G9" s="16"/>
      <c r="H9" s="17"/>
      <c r="L9" s="12"/>
      <c r="M9" s="12"/>
      <c r="N9" s="12"/>
    </row>
    <row r="10" spans="2:14" ht="16" customHeight="1">
      <c r="B10" s="62">
        <v>0.126</v>
      </c>
      <c r="C10" s="29" t="s">
        <v>62</v>
      </c>
      <c r="D10" s="63">
        <f>B10*table_echange!D1</f>
        <v>5.4935999999999999E-2</v>
      </c>
      <c r="E10" s="29" t="s">
        <v>62</v>
      </c>
      <c r="F10" s="29" t="s">
        <v>31</v>
      </c>
      <c r="G10" s="47">
        <f>D10*$D$26</f>
        <v>140.91084000000001</v>
      </c>
      <c r="H10" s="30" t="s">
        <v>87</v>
      </c>
      <c r="J10" s="149" t="s">
        <v>183</v>
      </c>
      <c r="K10" s="149"/>
      <c r="L10" s="12"/>
      <c r="M10" s="12"/>
      <c r="N10" s="12"/>
    </row>
    <row r="11" spans="2:14" ht="16" customHeight="1">
      <c r="B11" s="22"/>
      <c r="D11" s="61"/>
      <c r="E11" s="22"/>
      <c r="F11" s="22"/>
      <c r="G11" s="27"/>
      <c r="H11" s="22"/>
      <c r="J11" s="149"/>
      <c r="K11" s="149"/>
      <c r="L11" s="12"/>
      <c r="M11" s="12"/>
      <c r="N11" s="12"/>
    </row>
    <row r="12" spans="2:14" ht="16" customHeight="1">
      <c r="B12" s="134" t="s">
        <v>170</v>
      </c>
      <c r="C12" s="135"/>
      <c r="D12" s="135"/>
      <c r="E12" s="135"/>
      <c r="F12" s="135"/>
      <c r="G12" s="135"/>
      <c r="H12" s="136"/>
      <c r="I12" s="12"/>
      <c r="J12" s="149"/>
      <c r="K12" s="149"/>
    </row>
    <row r="13" spans="2:14" ht="15" customHeight="1">
      <c r="B13" s="21" t="s">
        <v>179</v>
      </c>
      <c r="C13" s="22"/>
      <c r="D13" s="22"/>
      <c r="E13" s="22"/>
      <c r="F13" s="64"/>
      <c r="G13" s="64"/>
      <c r="H13" s="23"/>
      <c r="J13" s="149"/>
      <c r="K13" s="149"/>
    </row>
    <row r="14" spans="2:14" ht="15" customHeight="1">
      <c r="B14" s="24">
        <v>5.72</v>
      </c>
      <c r="C14" s="22" t="s">
        <v>64</v>
      </c>
      <c r="D14" s="22"/>
      <c r="E14" s="22"/>
      <c r="F14" s="64"/>
      <c r="G14" s="64"/>
      <c r="H14" s="23"/>
      <c r="J14" s="149"/>
      <c r="K14" s="149"/>
    </row>
    <row r="15" spans="2:14" ht="15" customHeight="1">
      <c r="B15" s="25"/>
      <c r="C15" s="22"/>
      <c r="D15" s="26"/>
      <c r="E15" s="22"/>
      <c r="F15" s="64"/>
      <c r="G15" s="64"/>
      <c r="H15" s="23"/>
      <c r="J15" s="149"/>
      <c r="K15" s="149"/>
    </row>
    <row r="16" spans="2:14" ht="15" customHeight="1">
      <c r="B16" s="21" t="s">
        <v>105</v>
      </c>
      <c r="C16" s="22"/>
      <c r="D16" s="26"/>
      <c r="E16" s="22"/>
      <c r="F16" s="64"/>
      <c r="G16" s="64"/>
      <c r="H16" s="23"/>
      <c r="J16" s="149"/>
      <c r="K16" s="149"/>
    </row>
    <row r="17" spans="2:11" ht="15" customHeight="1">
      <c r="B17" s="24">
        <v>2.9</v>
      </c>
      <c r="C17" s="22" t="s">
        <v>33</v>
      </c>
      <c r="D17" s="26"/>
      <c r="E17" s="22"/>
      <c r="F17" s="64"/>
      <c r="G17" s="64"/>
      <c r="H17" s="23"/>
      <c r="J17" s="149"/>
      <c r="K17" s="149"/>
    </row>
    <row r="18" spans="2:11" ht="15" customHeight="1">
      <c r="B18" s="25"/>
      <c r="C18" s="22"/>
      <c r="D18" s="26"/>
      <c r="E18" s="22"/>
      <c r="F18" s="64"/>
      <c r="G18" s="64"/>
      <c r="H18" s="23"/>
      <c r="J18" s="149"/>
      <c r="K18" s="149"/>
    </row>
    <row r="19" spans="2:11" ht="15" customHeight="1">
      <c r="B19" s="25" t="s">
        <v>108</v>
      </c>
      <c r="C19" s="22"/>
      <c r="D19" s="26"/>
      <c r="E19" s="22"/>
      <c r="F19" s="64"/>
      <c r="G19" s="64"/>
      <c r="H19" s="23"/>
      <c r="J19" s="149"/>
      <c r="K19" s="149"/>
    </row>
    <row r="20" spans="2:11" ht="15" customHeight="1">
      <c r="B20" s="28">
        <v>7.8</v>
      </c>
      <c r="C20" s="22"/>
      <c r="D20" s="26"/>
      <c r="E20" s="22"/>
      <c r="F20" s="64"/>
      <c r="G20" s="64"/>
      <c r="H20" s="23"/>
    </row>
    <row r="21" spans="2:11" ht="15" customHeight="1">
      <c r="B21" s="25"/>
      <c r="C21" s="22"/>
      <c r="D21" s="26"/>
      <c r="E21" s="22"/>
      <c r="F21" s="64"/>
      <c r="G21" s="64"/>
      <c r="H21" s="23"/>
    </row>
    <row r="22" spans="2:11">
      <c r="B22" s="25" t="s">
        <v>88</v>
      </c>
      <c r="C22" s="22"/>
      <c r="D22" s="26"/>
      <c r="E22" s="22"/>
      <c r="F22" s="22"/>
      <c r="G22" s="22"/>
      <c r="H22" s="23"/>
    </row>
    <row r="23" spans="2:11">
      <c r="B23" s="28">
        <v>7.9</v>
      </c>
      <c r="C23" s="22"/>
      <c r="D23" s="26"/>
      <c r="E23" s="22"/>
      <c r="F23" s="22"/>
      <c r="G23" s="22"/>
      <c r="H23" s="23"/>
    </row>
    <row r="24" spans="2:11">
      <c r="B24" s="65"/>
      <c r="C24" s="22"/>
      <c r="D24" s="26"/>
      <c r="E24" s="22"/>
      <c r="F24" s="22"/>
      <c r="G24" s="22"/>
      <c r="H24" s="23"/>
    </row>
    <row r="25" spans="2:11">
      <c r="B25" s="25" t="s">
        <v>30</v>
      </c>
      <c r="C25" s="22" t="s">
        <v>20</v>
      </c>
      <c r="D25" s="32">
        <v>7</v>
      </c>
      <c r="E25" s="22" t="s">
        <v>32</v>
      </c>
      <c r="F25" s="22" t="s">
        <v>31</v>
      </c>
      <c r="G25" s="27">
        <f>($D$25*100)/1000</f>
        <v>0.7</v>
      </c>
      <c r="H25" s="23" t="s">
        <v>33</v>
      </c>
    </row>
    <row r="26" spans="2:11">
      <c r="B26" s="25" t="s">
        <v>38</v>
      </c>
      <c r="C26" s="22" t="s">
        <v>20</v>
      </c>
      <c r="D26" s="32">
        <v>2565</v>
      </c>
      <c r="E26" s="22" t="s">
        <v>63</v>
      </c>
      <c r="F26" s="22"/>
      <c r="G26" s="22"/>
      <c r="H26" s="23"/>
    </row>
    <row r="27" spans="2:11">
      <c r="B27" s="25"/>
      <c r="C27" s="22"/>
      <c r="D27" s="22"/>
      <c r="F27" s="22"/>
      <c r="G27" s="22"/>
      <c r="H27" s="23"/>
    </row>
    <row r="28" spans="2:11">
      <c r="B28" s="66" t="s">
        <v>116</v>
      </c>
      <c r="C28" s="4"/>
      <c r="D28" s="33"/>
      <c r="E28" s="4"/>
      <c r="F28" s="4"/>
      <c r="G28" s="4"/>
      <c r="H28" s="5"/>
    </row>
    <row r="29" spans="2:11" ht="15" customHeight="1">
      <c r="B29" s="21" t="s">
        <v>25</v>
      </c>
      <c r="C29" s="22" t="s">
        <v>20</v>
      </c>
      <c r="D29" s="34">
        <v>2.9</v>
      </c>
      <c r="E29" s="22" t="s">
        <v>33</v>
      </c>
      <c r="F29" s="145" t="s">
        <v>177</v>
      </c>
      <c r="G29" s="145"/>
      <c r="H29" s="146"/>
    </row>
    <row r="30" spans="2:11">
      <c r="B30" s="21" t="s">
        <v>26</v>
      </c>
      <c r="C30" s="22" t="s">
        <v>20</v>
      </c>
      <c r="D30" s="34">
        <v>9.6999999999999993</v>
      </c>
      <c r="E30" s="22" t="s">
        <v>33</v>
      </c>
      <c r="F30" s="145"/>
      <c r="G30" s="145"/>
      <c r="H30" s="146"/>
    </row>
    <row r="31" spans="2:11">
      <c r="B31" s="35" t="s">
        <v>104</v>
      </c>
      <c r="C31" s="36" t="s">
        <v>20</v>
      </c>
      <c r="D31" s="37">
        <v>0</v>
      </c>
      <c r="E31" s="36" t="s">
        <v>33</v>
      </c>
      <c r="F31" s="145"/>
      <c r="G31" s="145"/>
      <c r="H31" s="146"/>
    </row>
    <row r="32" spans="2:11" ht="15" customHeight="1">
      <c r="B32" s="21" t="s">
        <v>27</v>
      </c>
      <c r="C32" s="22" t="s">
        <v>20</v>
      </c>
      <c r="D32" s="22">
        <f>100-(D29+D30+D31+D33)</f>
        <v>87.4</v>
      </c>
      <c r="E32" s="22" t="s">
        <v>33</v>
      </c>
      <c r="F32" s="145"/>
      <c r="G32" s="145"/>
      <c r="H32" s="146"/>
    </row>
    <row r="33" spans="2:8">
      <c r="B33" s="21" t="s">
        <v>28</v>
      </c>
      <c r="C33" s="22" t="s">
        <v>20</v>
      </c>
      <c r="D33" s="34">
        <v>0</v>
      </c>
      <c r="E33" s="22" t="s">
        <v>33</v>
      </c>
      <c r="F33" s="145"/>
      <c r="G33" s="145"/>
      <c r="H33" s="146"/>
    </row>
    <row r="34" spans="2:8">
      <c r="B34" s="21"/>
      <c r="C34" s="22"/>
      <c r="D34" s="22"/>
      <c r="E34" s="22"/>
      <c r="F34" s="145"/>
      <c r="G34" s="145"/>
      <c r="H34" s="146"/>
    </row>
    <row r="35" spans="2:8">
      <c r="B35" s="39" t="s">
        <v>29</v>
      </c>
      <c r="C35" s="29" t="s">
        <v>20</v>
      </c>
      <c r="D35" s="40">
        <v>1</v>
      </c>
      <c r="E35" s="29" t="s">
        <v>33</v>
      </c>
      <c r="F35" s="29"/>
      <c r="G35" s="29"/>
      <c r="H35" s="30"/>
    </row>
    <row r="36" spans="2:8">
      <c r="D36" s="41"/>
    </row>
    <row r="37" spans="2:8">
      <c r="B37" s="118" t="s">
        <v>35</v>
      </c>
      <c r="C37" s="119"/>
      <c r="D37" s="119"/>
      <c r="E37" s="121" t="str">
        <f>IF(C39&lt;=0,"Pas d'apports nécéssaires","Apports préconisés")</f>
        <v>Pas d'apports nécéssaires</v>
      </c>
      <c r="F37" s="119"/>
      <c r="G37" s="119"/>
      <c r="H37" s="120"/>
    </row>
    <row r="38" spans="2:8">
      <c r="B38" s="21" t="s">
        <v>36</v>
      </c>
      <c r="C38" s="42">
        <f>$D$86</f>
        <v>7.2583999999999996E-2</v>
      </c>
      <c r="D38" s="43" t="s">
        <v>37</v>
      </c>
      <c r="E38" s="22">
        <f>$B$4</f>
        <v>0.112</v>
      </c>
      <c r="F38" s="43" t="s">
        <v>20</v>
      </c>
      <c r="G38" s="42">
        <f>$C$38-$E$38</f>
        <v>-3.9416000000000007E-2</v>
      </c>
      <c r="H38" s="23" t="s">
        <v>62</v>
      </c>
    </row>
    <row r="39" spans="2:8">
      <c r="B39" s="21" t="s">
        <v>39</v>
      </c>
      <c r="C39" s="45">
        <f>$G$38*$D$26</f>
        <v>-101.10204000000002</v>
      </c>
      <c r="D39" s="22" t="s">
        <v>42</v>
      </c>
      <c r="E39" s="22"/>
      <c r="F39" s="22"/>
      <c r="G39" s="22"/>
      <c r="H39" s="23"/>
    </row>
    <row r="40" spans="2:8">
      <c r="B40" s="21"/>
      <c r="C40" s="22"/>
      <c r="D40" s="22"/>
      <c r="E40" s="22"/>
      <c r="F40" s="22"/>
      <c r="G40" s="22"/>
      <c r="H40" s="23"/>
    </row>
    <row r="41" spans="2:8">
      <c r="B41" s="21" t="s">
        <v>40</v>
      </c>
      <c r="C41" s="22"/>
      <c r="D41" s="22">
        <v>60</v>
      </c>
      <c r="E41" s="22" t="s">
        <v>41</v>
      </c>
      <c r="F41" s="22"/>
      <c r="G41" s="22"/>
      <c r="H41" s="23"/>
    </row>
    <row r="42" spans="2:8">
      <c r="B42" s="21"/>
      <c r="C42" s="22"/>
      <c r="D42" s="22"/>
      <c r="E42" s="22"/>
      <c r="F42" s="22"/>
      <c r="G42" s="22"/>
      <c r="H42" s="23"/>
    </row>
    <row r="43" spans="2:8">
      <c r="B43" s="21" t="s">
        <v>89</v>
      </c>
      <c r="C43" s="44" t="s">
        <v>181</v>
      </c>
      <c r="D43" s="22"/>
      <c r="E43" s="22"/>
      <c r="F43" s="22"/>
      <c r="G43" s="22"/>
      <c r="H43" s="23"/>
    </row>
    <row r="44" spans="2:8">
      <c r="B44" s="21" t="s">
        <v>39</v>
      </c>
      <c r="C44" s="45">
        <f>(($B$8/$E$57)-$B$4)*D26</f>
        <v>-144.37285714285716</v>
      </c>
      <c r="D44" s="22" t="s">
        <v>42</v>
      </c>
      <c r="E44" s="22"/>
      <c r="F44" s="22"/>
      <c r="G44" s="22"/>
      <c r="H44" s="23"/>
    </row>
    <row r="45" spans="2:8">
      <c r="B45" s="57" t="s">
        <v>92</v>
      </c>
      <c r="C45" s="29"/>
      <c r="D45" s="29"/>
      <c r="E45" s="29"/>
      <c r="F45" s="29"/>
      <c r="G45" s="29"/>
      <c r="H45" s="30"/>
    </row>
    <row r="47" spans="2:8">
      <c r="B47" s="118" t="s">
        <v>43</v>
      </c>
      <c r="C47" s="119"/>
      <c r="D47" s="119"/>
      <c r="E47" s="121" t="str">
        <f>IF(C48&lt;=0,"Pas d'apports nécéssaires","Apports préconisés")</f>
        <v>Pas d'apports nécéssaires</v>
      </c>
      <c r="F47" s="121"/>
      <c r="G47" s="122"/>
    </row>
    <row r="48" spans="2:8">
      <c r="B48" s="21" t="s">
        <v>44</v>
      </c>
      <c r="C48" s="45">
        <f>(95%-$D$35)*$B$14*$D$26*0.28</f>
        <v>-205.40520000000018</v>
      </c>
      <c r="D48" s="22" t="s">
        <v>45</v>
      </c>
      <c r="E48" s="22" t="s">
        <v>46</v>
      </c>
      <c r="F48" s="22"/>
      <c r="G48" s="23"/>
    </row>
    <row r="49" spans="2:11">
      <c r="B49" s="21" t="s">
        <v>47</v>
      </c>
      <c r="C49" s="141" t="s">
        <v>168</v>
      </c>
      <c r="D49" s="141"/>
      <c r="E49" s="141"/>
      <c r="F49" s="141"/>
      <c r="G49" s="142"/>
    </row>
    <row r="50" spans="2:11">
      <c r="B50" s="21"/>
      <c r="C50" s="141"/>
      <c r="D50" s="141"/>
      <c r="E50" s="141"/>
      <c r="F50" s="141"/>
      <c r="G50" s="142"/>
    </row>
    <row r="51" spans="2:11">
      <c r="B51" s="143" t="s">
        <v>58</v>
      </c>
      <c r="C51" s="22">
        <v>2000</v>
      </c>
      <c r="D51" s="22" t="s">
        <v>59</v>
      </c>
      <c r="E51" s="22" t="s">
        <v>60</v>
      </c>
      <c r="F51" s="22"/>
      <c r="G51" s="23"/>
    </row>
    <row r="52" spans="2:11">
      <c r="B52" s="144"/>
      <c r="C52" s="29">
        <v>500</v>
      </c>
      <c r="D52" s="29" t="s">
        <v>41</v>
      </c>
      <c r="E52" s="29" t="s">
        <v>61</v>
      </c>
      <c r="F52" s="29"/>
      <c r="G52" s="30"/>
    </row>
    <row r="54" spans="2:11">
      <c r="B54" s="138" t="s">
        <v>49</v>
      </c>
      <c r="C54" s="139"/>
      <c r="D54" s="139"/>
      <c r="E54" s="140"/>
      <c r="F54" s="22"/>
      <c r="G54" s="22"/>
      <c r="H54" s="22"/>
    </row>
    <row r="55" spans="2:11">
      <c r="B55" s="21" t="s">
        <v>11</v>
      </c>
      <c r="C55" s="45">
        <f>D32/D30</f>
        <v>9.0103092783505172</v>
      </c>
      <c r="D55" s="46" t="s">
        <v>48</v>
      </c>
      <c r="E55" s="23">
        <v>12</v>
      </c>
      <c r="F55" s="22"/>
      <c r="G55" s="22"/>
      <c r="H55" s="22"/>
      <c r="I55" s="22"/>
      <c r="J55" s="22"/>
      <c r="K55" s="22"/>
    </row>
    <row r="56" spans="2:11">
      <c r="B56" s="21" t="s">
        <v>12</v>
      </c>
      <c r="C56" s="27">
        <f>D29/D30</f>
        <v>0.29896907216494845</v>
      </c>
      <c r="D56" s="46" t="s">
        <v>48</v>
      </c>
      <c r="E56" s="23">
        <v>0.73</v>
      </c>
      <c r="F56" s="22"/>
      <c r="G56" s="22"/>
      <c r="H56" s="22"/>
      <c r="I56" s="22"/>
      <c r="J56" s="22"/>
      <c r="K56" s="22"/>
    </row>
    <row r="57" spans="2:11">
      <c r="B57" s="39" t="s">
        <v>181</v>
      </c>
      <c r="C57" s="47">
        <f>B8/B4</f>
        <v>0.6964285714285714</v>
      </c>
      <c r="D57" s="48" t="s">
        <v>48</v>
      </c>
      <c r="E57" s="30">
        <v>1.4</v>
      </c>
      <c r="F57" s="22"/>
      <c r="G57" s="22"/>
      <c r="H57" s="22"/>
      <c r="I57" s="22"/>
      <c r="J57" s="22"/>
      <c r="K57" s="22"/>
    </row>
    <row r="58" spans="2:11">
      <c r="I58" s="22"/>
      <c r="J58" s="22"/>
      <c r="K58" s="22"/>
    </row>
    <row r="60" spans="2:11">
      <c r="B60" s="138" t="s">
        <v>19</v>
      </c>
      <c r="C60" s="139"/>
      <c r="D60" s="139"/>
      <c r="E60" s="139"/>
      <c r="F60" s="139"/>
      <c r="G60" s="140"/>
      <c r="H60" s="49"/>
    </row>
    <row r="61" spans="2:11">
      <c r="B61" s="55" t="s">
        <v>93</v>
      </c>
      <c r="C61" s="150" t="s">
        <v>57</v>
      </c>
      <c r="D61" s="150"/>
      <c r="E61" s="43"/>
      <c r="F61" s="43"/>
      <c r="G61" s="59"/>
      <c r="I61" s="49"/>
      <c r="J61" s="49"/>
      <c r="K61" s="49"/>
    </row>
    <row r="62" spans="2:11">
      <c r="B62" s="55"/>
      <c r="C62" s="43"/>
      <c r="D62" s="43"/>
      <c r="E62" s="43"/>
      <c r="F62" s="43"/>
      <c r="G62" s="59"/>
      <c r="H62" s="49"/>
    </row>
    <row r="63" spans="2:11">
      <c r="B63" s="55"/>
      <c r="C63" s="43"/>
      <c r="D63" s="43"/>
      <c r="E63" s="43"/>
      <c r="F63" s="43"/>
      <c r="G63" s="59"/>
      <c r="H63" s="49"/>
      <c r="I63" s="49"/>
      <c r="J63" s="49"/>
      <c r="K63" s="49"/>
    </row>
    <row r="64" spans="2:11">
      <c r="B64" s="54" t="s">
        <v>8</v>
      </c>
      <c r="C64" s="50" t="s">
        <v>20</v>
      </c>
      <c r="D64" s="4">
        <f>$B$8</f>
        <v>7.8E-2</v>
      </c>
      <c r="E64" s="4" t="s">
        <v>62</v>
      </c>
      <c r="F64" s="147" t="str">
        <f>IF(D64&gt;=E65,"Fumure réduite","Fumure d'entretien")</f>
        <v>Fumure d'entretien</v>
      </c>
      <c r="G64" s="148"/>
      <c r="I64" s="49"/>
      <c r="J64" s="49"/>
      <c r="K64" s="49"/>
    </row>
    <row r="65" spans="2:7">
      <c r="B65" s="21"/>
      <c r="C65" s="22"/>
      <c r="D65" s="22"/>
      <c r="E65" s="123">
        <f>INDEX(C67:C69,MATCH(C61,E67:E69,1))</f>
        <v>0.27432000000000001</v>
      </c>
      <c r="F65" s="22"/>
      <c r="G65" s="23"/>
    </row>
    <row r="66" spans="2:7">
      <c r="B66" s="21" t="s">
        <v>53</v>
      </c>
      <c r="C66" s="22"/>
      <c r="D66" s="22"/>
      <c r="E66" s="22"/>
      <c r="F66" s="22"/>
      <c r="G66" s="23"/>
    </row>
    <row r="67" spans="2:7">
      <c r="B67" s="21" t="s">
        <v>50</v>
      </c>
      <c r="C67" s="51">
        <f>IF($B$14&lt;=25,D73,D79)</f>
        <v>8.4320000000000006E-2</v>
      </c>
      <c r="D67" s="22" t="s">
        <v>62</v>
      </c>
      <c r="E67" s="22" t="s">
        <v>55</v>
      </c>
      <c r="F67" s="22"/>
      <c r="G67" s="23"/>
    </row>
    <row r="68" spans="2:7">
      <c r="B68" s="21" t="s">
        <v>51</v>
      </c>
      <c r="C68" s="51">
        <f t="shared" ref="C68:C69" si="0">IF($B$14&lt;=25,D74,D80)</f>
        <v>0.15431999999999998</v>
      </c>
      <c r="D68" s="22" t="s">
        <v>62</v>
      </c>
      <c r="E68" s="22" t="s">
        <v>56</v>
      </c>
      <c r="F68" s="22"/>
      <c r="G68" s="23"/>
    </row>
    <row r="69" spans="2:7">
      <c r="B69" s="21" t="s">
        <v>52</v>
      </c>
      <c r="C69" s="51">
        <f t="shared" si="0"/>
        <v>0.27432000000000001</v>
      </c>
      <c r="D69" s="22" t="s">
        <v>62</v>
      </c>
      <c r="E69" s="22" t="s">
        <v>57</v>
      </c>
      <c r="F69" s="22"/>
      <c r="G69" s="23"/>
    </row>
    <row r="70" spans="2:7">
      <c r="B70" s="21"/>
      <c r="C70" s="26"/>
      <c r="D70" s="22"/>
      <c r="E70" s="22"/>
      <c r="F70" s="22"/>
      <c r="G70" s="23"/>
    </row>
    <row r="71" spans="2:7">
      <c r="B71" s="21" t="s">
        <v>178</v>
      </c>
      <c r="C71" s="22"/>
      <c r="D71" s="22"/>
      <c r="E71" s="22"/>
      <c r="F71" s="22"/>
      <c r="G71" s="23"/>
    </row>
    <row r="72" spans="2:7">
      <c r="B72" s="21"/>
      <c r="C72" s="22"/>
      <c r="D72" s="22"/>
      <c r="E72" s="22"/>
      <c r="F72" s="22"/>
      <c r="G72" s="23"/>
    </row>
    <row r="73" spans="2:7">
      <c r="B73" s="21" t="s">
        <v>100</v>
      </c>
      <c r="C73" s="43" t="s">
        <v>20</v>
      </c>
      <c r="D73" s="26">
        <f>0.006*$B$14+0.05</f>
        <v>8.4320000000000006E-2</v>
      </c>
      <c r="E73" s="22" t="s">
        <v>62</v>
      </c>
      <c r="F73" s="22"/>
      <c r="G73" s="23"/>
    </row>
    <row r="74" spans="2:7">
      <c r="B74" s="21" t="s">
        <v>101</v>
      </c>
      <c r="C74" s="43" t="s">
        <v>20</v>
      </c>
      <c r="D74" s="26">
        <f>0.006*$B$14+0.12</f>
        <v>0.15431999999999998</v>
      </c>
      <c r="E74" s="22" t="s">
        <v>62</v>
      </c>
      <c r="F74" s="22"/>
      <c r="G74" s="23"/>
    </row>
    <row r="75" spans="2:7">
      <c r="B75" s="21" t="s">
        <v>102</v>
      </c>
      <c r="C75" s="43" t="s">
        <v>20</v>
      </c>
      <c r="D75" s="26">
        <f>0.006*$B$14+0.24</f>
        <v>0.27432000000000001</v>
      </c>
      <c r="E75" s="22" t="s">
        <v>62</v>
      </c>
      <c r="F75" s="22"/>
      <c r="G75" s="23"/>
    </row>
    <row r="76" spans="2:7">
      <c r="B76" s="21"/>
      <c r="C76" s="43"/>
      <c r="D76" s="22"/>
      <c r="E76" s="22"/>
      <c r="F76" s="22"/>
      <c r="G76" s="23"/>
    </row>
    <row r="77" spans="2:7">
      <c r="B77" s="21" t="s">
        <v>5</v>
      </c>
      <c r="C77" s="43"/>
      <c r="D77" s="22"/>
      <c r="E77" s="22"/>
      <c r="F77" s="22"/>
      <c r="G77" s="23"/>
    </row>
    <row r="78" spans="2:7">
      <c r="B78" s="21"/>
      <c r="C78" s="43"/>
      <c r="D78" s="22"/>
      <c r="E78" s="22"/>
      <c r="F78" s="22"/>
      <c r="G78" s="23"/>
    </row>
    <row r="79" spans="2:7">
      <c r="B79" s="21" t="s">
        <v>100</v>
      </c>
      <c r="C79" s="43" t="s">
        <v>20</v>
      </c>
      <c r="D79" s="22">
        <v>0.2</v>
      </c>
      <c r="E79" s="22" t="s">
        <v>62</v>
      </c>
      <c r="F79" s="22"/>
      <c r="G79" s="23"/>
    </row>
    <row r="80" spans="2:7">
      <c r="B80" s="21" t="s">
        <v>101</v>
      </c>
      <c r="C80" s="43" t="s">
        <v>20</v>
      </c>
      <c r="D80" s="22">
        <v>0.27</v>
      </c>
      <c r="E80" s="22" t="s">
        <v>62</v>
      </c>
      <c r="F80" s="22"/>
      <c r="G80" s="23"/>
    </row>
    <row r="81" spans="2:7">
      <c r="B81" s="39" t="s">
        <v>102</v>
      </c>
      <c r="C81" s="52" t="s">
        <v>20</v>
      </c>
      <c r="D81" s="29">
        <v>0.54</v>
      </c>
      <c r="E81" s="29" t="s">
        <v>62</v>
      </c>
      <c r="F81" s="29"/>
      <c r="G81" s="30"/>
    </row>
    <row r="82" spans="2:7">
      <c r="B82" s="21"/>
      <c r="C82" s="43"/>
      <c r="D82" s="22"/>
      <c r="E82" s="22"/>
      <c r="F82" s="22"/>
      <c r="G82" s="23"/>
    </row>
    <row r="83" spans="2:7">
      <c r="B83" s="54" t="s">
        <v>6</v>
      </c>
      <c r="C83" s="50" t="s">
        <v>20</v>
      </c>
      <c r="D83" s="60">
        <f>$B$4</f>
        <v>0.112</v>
      </c>
      <c r="E83" s="4" t="s">
        <v>62</v>
      </c>
      <c r="F83" s="147" t="str">
        <f>IF(D83&gt;=D84,"Pas d'apports nécéssaires","Apports préconisés")</f>
        <v>Pas d'apports nécéssaires</v>
      </c>
      <c r="G83" s="148"/>
    </row>
    <row r="84" spans="2:7">
      <c r="B84" s="21" t="s">
        <v>54</v>
      </c>
      <c r="C84" s="43" t="s">
        <v>20</v>
      </c>
      <c r="D84" s="53">
        <f>IF($B$14&lt;25,D86,D87)</f>
        <v>7.2583999999999996E-2</v>
      </c>
      <c r="E84" s="22" t="s">
        <v>62</v>
      </c>
      <c r="F84" s="22"/>
      <c r="G84" s="23"/>
    </row>
    <row r="85" spans="2:7">
      <c r="B85" s="21"/>
      <c r="C85" s="22"/>
      <c r="D85" s="22"/>
      <c r="E85" s="22"/>
      <c r="F85" s="22"/>
      <c r="G85" s="23"/>
    </row>
    <row r="86" spans="2:7">
      <c r="B86" s="21" t="s">
        <v>182</v>
      </c>
      <c r="C86" s="43" t="s">
        <v>20</v>
      </c>
      <c r="D86" s="42">
        <f>0.0022*$B$14+0.06</f>
        <v>7.2583999999999996E-2</v>
      </c>
      <c r="E86" s="22" t="s">
        <v>62</v>
      </c>
      <c r="F86" s="22"/>
      <c r="G86" s="23"/>
    </row>
    <row r="87" spans="2:7">
      <c r="B87" s="21" t="s">
        <v>103</v>
      </c>
      <c r="C87" s="43" t="s">
        <v>20</v>
      </c>
      <c r="D87" s="22">
        <v>0.115</v>
      </c>
      <c r="E87" s="22" t="s">
        <v>62</v>
      </c>
      <c r="F87" s="22"/>
      <c r="G87" s="23"/>
    </row>
    <row r="88" spans="2:7">
      <c r="B88" s="21"/>
      <c r="C88" s="22"/>
      <c r="D88" s="22"/>
      <c r="E88" s="22"/>
      <c r="F88" s="22"/>
      <c r="G88" s="23"/>
    </row>
    <row r="89" spans="2:7">
      <c r="B89" s="39" t="s">
        <v>7</v>
      </c>
      <c r="C89" s="29"/>
      <c r="D89" s="29"/>
      <c r="E89" s="29"/>
      <c r="F89" s="29"/>
      <c r="G89" s="30"/>
    </row>
    <row r="90" spans="2:7">
      <c r="B90" s="21"/>
      <c r="C90" s="22"/>
      <c r="D90" s="22"/>
      <c r="E90" s="22"/>
      <c r="F90" s="22"/>
      <c r="G90" s="23"/>
    </row>
    <row r="91" spans="2:7">
      <c r="B91" s="54" t="s">
        <v>24</v>
      </c>
      <c r="C91" s="50" t="s">
        <v>20</v>
      </c>
      <c r="D91" s="33">
        <f>$B$10</f>
        <v>0.126</v>
      </c>
      <c r="E91" s="4" t="s">
        <v>62</v>
      </c>
      <c r="F91" s="147" t="str">
        <f>IF(D91&gt;=E92,"Fumure réduite","Fumure d'entretien")</f>
        <v>Fumure d'entretien</v>
      </c>
      <c r="G91" s="148"/>
    </row>
    <row r="92" spans="2:7">
      <c r="B92" s="21" t="s">
        <v>34</v>
      </c>
      <c r="C92" s="22"/>
      <c r="D92" s="22"/>
      <c r="E92" s="123">
        <f>INDEX(D94:D96,MATCH(C61,F94:F96,1))</f>
        <v>0.27432000000000001</v>
      </c>
      <c r="F92" s="22"/>
      <c r="G92" s="23"/>
    </row>
    <row r="93" spans="2:7">
      <c r="B93" s="126" t="str">
        <f>IF(OR($B$20&gt;=7.2,$B$20&lt;=5.5),"Attention, faible biodisponibilité.","Bonne biodisponibilité")</f>
        <v>Attention, faible biodisponibilité.</v>
      </c>
      <c r="C93" s="22"/>
      <c r="D93" s="22"/>
      <c r="E93" s="22"/>
      <c r="F93" s="22"/>
      <c r="G93" s="23"/>
    </row>
    <row r="94" spans="2:7">
      <c r="B94" s="21" t="s">
        <v>100</v>
      </c>
      <c r="C94" s="43" t="s">
        <v>20</v>
      </c>
      <c r="D94" s="124">
        <f>0.006*$B$14+0.05</f>
        <v>8.4320000000000006E-2</v>
      </c>
      <c r="E94" s="22" t="s">
        <v>62</v>
      </c>
      <c r="F94" s="22" t="s">
        <v>55</v>
      </c>
      <c r="G94" s="23"/>
    </row>
    <row r="95" spans="2:7">
      <c r="B95" s="21" t="s">
        <v>101</v>
      </c>
      <c r="C95" s="43" t="s">
        <v>20</v>
      </c>
      <c r="D95" s="124">
        <f>0.006*$B$14+0.12</f>
        <v>0.15431999999999998</v>
      </c>
      <c r="E95" s="22" t="s">
        <v>62</v>
      </c>
      <c r="F95" s="22" t="s">
        <v>56</v>
      </c>
      <c r="G95" s="23"/>
    </row>
    <row r="96" spans="2:7">
      <c r="B96" s="39" t="s">
        <v>102</v>
      </c>
      <c r="C96" s="52" t="s">
        <v>20</v>
      </c>
      <c r="D96" s="125">
        <f>0.006*$B$14+0.24</f>
        <v>0.27432000000000001</v>
      </c>
      <c r="E96" s="29" t="s">
        <v>62</v>
      </c>
      <c r="F96" s="22" t="s">
        <v>57</v>
      </c>
      <c r="G96" s="30"/>
    </row>
  </sheetData>
  <mergeCells count="13">
    <mergeCell ref="F64:G64"/>
    <mergeCell ref="F83:G83"/>
    <mergeCell ref="F91:G91"/>
    <mergeCell ref="J10:K19"/>
    <mergeCell ref="C61:D61"/>
    <mergeCell ref="B60:G60"/>
    <mergeCell ref="B2:H2"/>
    <mergeCell ref="B12:H12"/>
    <mergeCell ref="J2:K8"/>
    <mergeCell ref="B54:E54"/>
    <mergeCell ref="C49:G50"/>
    <mergeCell ref="B51:B52"/>
    <mergeCell ref="F29:H34"/>
  </mergeCells>
  <phoneticPr fontId="4" type="noConversion"/>
  <conditionalFormatting sqref="C55">
    <cfRule type="cellIs" dxfId="25" priority="28" operator="between">
      <formula>8</formula>
      <formula>12</formula>
    </cfRule>
    <cfRule type="cellIs" dxfId="24" priority="29" operator="lessThan">
      <formula>8</formula>
    </cfRule>
    <cfRule type="cellIs" dxfId="23" priority="30" operator="greaterThan">
      <formula>12</formula>
    </cfRule>
  </conditionalFormatting>
  <conditionalFormatting sqref="C39">
    <cfRule type="cellIs" dxfId="22" priority="24" operator="lessThan">
      <formula>0</formula>
    </cfRule>
    <cfRule type="cellIs" dxfId="21" priority="25" operator="greaterThan">
      <formula>0</formula>
    </cfRule>
  </conditionalFormatting>
  <conditionalFormatting sqref="C48">
    <cfRule type="cellIs" dxfId="20" priority="22" operator="lessThan">
      <formula>0</formula>
    </cfRule>
    <cfRule type="cellIs" dxfId="19" priority="23" operator="greaterThan">
      <formula>0</formula>
    </cfRule>
  </conditionalFormatting>
  <conditionalFormatting sqref="C56">
    <cfRule type="cellIs" dxfId="18" priority="16" operator="between">
      <formula>0.7</formula>
      <formula>0.76</formula>
    </cfRule>
    <cfRule type="cellIs" dxfId="17" priority="17" operator="between">
      <formula>0.5</formula>
      <formula>0.9</formula>
    </cfRule>
    <cfRule type="cellIs" dxfId="16" priority="18" operator="lessThan">
      <formula>0.5</formula>
    </cfRule>
    <cfRule type="cellIs" dxfId="15" priority="19" operator="greaterThan">
      <formula>0.9</formula>
    </cfRule>
  </conditionalFormatting>
  <conditionalFormatting sqref="C57">
    <cfRule type="cellIs" dxfId="14" priority="12" operator="between">
      <formula>1.2</formula>
      <formula>1.6</formula>
    </cfRule>
    <cfRule type="cellIs" dxfId="13" priority="13" operator="between">
      <formula>1</formula>
      <formula>1.8</formula>
    </cfRule>
    <cfRule type="cellIs" dxfId="12" priority="14" operator="lessThan">
      <formula>1</formula>
    </cfRule>
    <cfRule type="cellIs" dxfId="11" priority="15" operator="greaterThan">
      <formula>1.8</formula>
    </cfRule>
  </conditionalFormatting>
  <conditionalFormatting sqref="C44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1">
    <cfRule type="cellIs" dxfId="8" priority="9" operator="lessThan">
      <formula>$C$39</formula>
    </cfRule>
  </conditionalFormatting>
  <conditionalFormatting sqref="C51">
    <cfRule type="cellIs" dxfId="7" priority="8" operator="lessThan">
      <formula>$C$48</formula>
    </cfRule>
  </conditionalFormatting>
  <conditionalFormatting sqref="C67:C69">
    <cfRule type="cellIs" dxfId="6" priority="7" operator="greaterThan">
      <formula>$D$64</formula>
    </cfRule>
  </conditionalFormatting>
  <conditionalFormatting sqref="D84">
    <cfRule type="cellIs" dxfId="5" priority="4" operator="greaterThan">
      <formula>$D$83</formula>
    </cfRule>
  </conditionalFormatting>
  <conditionalFormatting sqref="D94">
    <cfRule type="cellIs" dxfId="4" priority="3" operator="greaterThan">
      <formula>$D$91</formula>
    </cfRule>
  </conditionalFormatting>
  <conditionalFormatting sqref="D95">
    <cfRule type="cellIs" dxfId="3" priority="2" operator="greaterThan">
      <formula>$D$91</formula>
    </cfRule>
  </conditionalFormatting>
  <conditionalFormatting sqref="D96">
    <cfRule type="cellIs" dxfId="2" priority="1" operator="greaterThan">
      <formula>$D$91</formula>
    </cfRule>
  </conditionalFormatting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table_echange!A7:A9</xm:f>
          </x14:formula1>
          <xm:sqref>C61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="250" zoomScaleNormal="250" zoomScalePageLayoutView="250" workbookViewId="0">
      <selection activeCell="F10" sqref="F10"/>
    </sheetView>
  </sheetViews>
  <sheetFormatPr baseColWidth="10" defaultRowHeight="15" x14ac:dyDescent="0"/>
  <cols>
    <col min="1" max="2" width="10.83203125" style="2"/>
    <col min="3" max="3" width="9.1640625" style="2" customWidth="1"/>
    <col min="4" max="4" width="14.5" style="2" customWidth="1"/>
    <col min="5" max="5" width="10.1640625" style="2" customWidth="1"/>
    <col min="6" max="6" width="16.6640625" style="2" customWidth="1"/>
    <col min="7" max="7" width="3.6640625" style="2" customWidth="1"/>
    <col min="8" max="16384" width="10.83203125" style="2"/>
  </cols>
  <sheetData>
    <row r="2" spans="1:9">
      <c r="B2" s="132" t="s">
        <v>171</v>
      </c>
      <c r="C2" s="132"/>
      <c r="D2" s="132"/>
      <c r="E2" s="132"/>
      <c r="H2" s="157" t="s">
        <v>149</v>
      </c>
      <c r="I2" s="157"/>
    </row>
    <row r="3" spans="1:9">
      <c r="B3" s="3" t="s">
        <v>105</v>
      </c>
      <c r="C3" s="4"/>
      <c r="D3" s="4"/>
      <c r="E3" s="5"/>
      <c r="H3" s="157"/>
      <c r="I3" s="157"/>
    </row>
    <row r="4" spans="1:9">
      <c r="B4" s="24">
        <v>2.9</v>
      </c>
      <c r="C4" s="22" t="s">
        <v>33</v>
      </c>
      <c r="D4" s="22"/>
      <c r="E4" s="23"/>
      <c r="H4" s="157"/>
      <c r="I4" s="157"/>
    </row>
    <row r="5" spans="1:9">
      <c r="B5" s="25"/>
      <c r="C5" s="22"/>
      <c r="D5" s="22"/>
      <c r="E5" s="23"/>
      <c r="H5" s="157"/>
      <c r="I5" s="157"/>
    </row>
    <row r="6" spans="1:9">
      <c r="B6" s="21" t="s">
        <v>112</v>
      </c>
      <c r="C6" s="22"/>
      <c r="D6" s="43" t="s">
        <v>114</v>
      </c>
      <c r="E6" s="59" t="s">
        <v>115</v>
      </c>
      <c r="H6" s="157"/>
      <c r="I6" s="157"/>
    </row>
    <row r="7" spans="1:9">
      <c r="B7" s="24">
        <v>0.8</v>
      </c>
      <c r="C7" s="22" t="s">
        <v>33</v>
      </c>
      <c r="D7" s="104">
        <v>26</v>
      </c>
      <c r="E7" s="105">
        <v>21</v>
      </c>
      <c r="H7" s="157"/>
      <c r="I7" s="157"/>
    </row>
    <row r="8" spans="1:9">
      <c r="B8" s="25"/>
      <c r="C8" s="22"/>
      <c r="D8" s="43"/>
      <c r="E8" s="59"/>
      <c r="H8" s="157"/>
      <c r="I8" s="157"/>
    </row>
    <row r="9" spans="1:9">
      <c r="B9" s="21" t="s">
        <v>113</v>
      </c>
      <c r="C9" s="36"/>
      <c r="D9" s="43" t="s">
        <v>114</v>
      </c>
      <c r="E9" s="59" t="s">
        <v>115</v>
      </c>
    </row>
    <row r="10" spans="1:9">
      <c r="B10" s="106">
        <v>2.1</v>
      </c>
      <c r="C10" s="107" t="s">
        <v>33</v>
      </c>
      <c r="D10" s="108">
        <v>74</v>
      </c>
      <c r="E10" s="109">
        <v>11</v>
      </c>
    </row>
    <row r="11" spans="1:9">
      <c r="A11" s="22"/>
      <c r="B11" s="114"/>
      <c r="C11" s="38"/>
    </row>
    <row r="12" spans="1:9">
      <c r="A12" s="22"/>
      <c r="B12" s="151" t="s">
        <v>172</v>
      </c>
      <c r="C12" s="152"/>
      <c r="D12" s="152"/>
      <c r="E12" s="152"/>
      <c r="F12" s="152"/>
      <c r="G12" s="153"/>
    </row>
    <row r="13" spans="1:9">
      <c r="B13" s="110" t="s">
        <v>117</v>
      </c>
      <c r="C13" s="111"/>
      <c r="D13" s="4" t="s">
        <v>118</v>
      </c>
      <c r="E13" s="4"/>
      <c r="F13" s="4" t="s">
        <v>31</v>
      </c>
      <c r="G13" s="5"/>
    </row>
    <row r="14" spans="1:9">
      <c r="B14" s="112">
        <v>16.7</v>
      </c>
      <c r="C14" s="107" t="s">
        <v>62</v>
      </c>
      <c r="D14" s="108">
        <v>932</v>
      </c>
      <c r="E14" s="29" t="s">
        <v>119</v>
      </c>
      <c r="F14" s="113">
        <v>5.6</v>
      </c>
      <c r="G14" s="30" t="s">
        <v>120</v>
      </c>
    </row>
    <row r="15" spans="1:9">
      <c r="A15" s="22"/>
      <c r="B15" s="114"/>
      <c r="C15" s="38"/>
    </row>
    <row r="16" spans="1:9">
      <c r="B16" s="151" t="s">
        <v>173</v>
      </c>
      <c r="C16" s="152"/>
      <c r="D16" s="152"/>
      <c r="E16" s="152"/>
      <c r="F16" s="153"/>
    </row>
    <row r="17" spans="2:7">
      <c r="B17" s="110" t="s">
        <v>121</v>
      </c>
      <c r="C17" s="111"/>
      <c r="D17" s="4" t="s">
        <v>123</v>
      </c>
      <c r="E17" s="4"/>
      <c r="F17" s="5" t="s">
        <v>124</v>
      </c>
    </row>
    <row r="18" spans="2:7">
      <c r="B18" s="115">
        <v>1046.3</v>
      </c>
      <c r="C18" s="107" t="s">
        <v>122</v>
      </c>
      <c r="D18" s="116">
        <v>6.3</v>
      </c>
      <c r="E18" s="29" t="s">
        <v>33</v>
      </c>
      <c r="F18" s="70">
        <v>40.1</v>
      </c>
    </row>
    <row r="20" spans="2:7">
      <c r="B20" s="154" t="s">
        <v>174</v>
      </c>
      <c r="C20" s="155"/>
      <c r="D20" s="155"/>
      <c r="E20" s="155"/>
      <c r="F20" s="155"/>
      <c r="G20" s="156"/>
    </row>
    <row r="21" spans="2:7">
      <c r="B21" s="110" t="s">
        <v>125</v>
      </c>
      <c r="C21" s="111"/>
      <c r="D21" s="4" t="s">
        <v>123</v>
      </c>
      <c r="E21" s="4"/>
      <c r="F21" s="4" t="s">
        <v>126</v>
      </c>
      <c r="G21" s="5"/>
    </row>
    <row r="22" spans="2:7">
      <c r="B22" s="115">
        <v>119.9</v>
      </c>
      <c r="C22" s="107" t="s">
        <v>122</v>
      </c>
      <c r="D22" s="116">
        <v>8.9</v>
      </c>
      <c r="E22" s="29" t="s">
        <v>33</v>
      </c>
      <c r="F22" s="116">
        <v>461.3</v>
      </c>
      <c r="G22" s="30" t="s">
        <v>127</v>
      </c>
    </row>
  </sheetData>
  <mergeCells count="5">
    <mergeCell ref="B2:E2"/>
    <mergeCell ref="B12:G12"/>
    <mergeCell ref="B16:F16"/>
    <mergeCell ref="B20:G20"/>
    <mergeCell ref="H2:I8"/>
  </mergeCells>
  <conditionalFormatting sqref="E7">
    <cfRule type="cellIs" dxfId="1" priority="2" operator="greaterThan">
      <formula>23</formula>
    </cfRule>
  </conditionalFormatting>
  <conditionalFormatting sqref="E10">
    <cfRule type="cellIs" dxfId="0" priority="1" operator="lessThan">
      <formula>7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zoomScale="190" zoomScaleNormal="190" zoomScalePageLayoutView="190" workbookViewId="0">
      <selection activeCell="B18" sqref="B18"/>
    </sheetView>
  </sheetViews>
  <sheetFormatPr baseColWidth="10" defaultRowHeight="15" x14ac:dyDescent="0"/>
  <cols>
    <col min="1" max="1" width="10.83203125" style="2"/>
    <col min="2" max="2" width="27.1640625" style="2" customWidth="1"/>
    <col min="3" max="3" width="5.5" style="2" customWidth="1"/>
    <col min="4" max="4" width="8" style="2" customWidth="1"/>
    <col min="5" max="5" width="7" style="2" customWidth="1"/>
    <col min="6" max="16384" width="10.83203125" style="2"/>
  </cols>
  <sheetData>
    <row r="2" spans="2:8">
      <c r="B2" s="138" t="s">
        <v>148</v>
      </c>
      <c r="C2" s="139"/>
      <c r="D2" s="139"/>
      <c r="E2" s="140"/>
      <c r="G2" s="157" t="s">
        <v>149</v>
      </c>
      <c r="H2" s="157"/>
    </row>
    <row r="3" spans="2:8">
      <c r="B3" s="87" t="s">
        <v>133</v>
      </c>
      <c r="C3" s="88" t="s">
        <v>134</v>
      </c>
      <c r="D3" s="98">
        <f>table_information!B6</f>
        <v>4.2</v>
      </c>
      <c r="E3" s="90" t="s">
        <v>33</v>
      </c>
      <c r="G3" s="157"/>
      <c r="H3" s="157"/>
    </row>
    <row r="4" spans="2:8" ht="15" customHeight="1">
      <c r="B4" s="91"/>
      <c r="C4" s="92" t="s">
        <v>135</v>
      </c>
      <c r="D4" s="98">
        <f>table_information!B8</f>
        <v>73.8</v>
      </c>
      <c r="E4" s="93" t="s">
        <v>33</v>
      </c>
      <c r="G4" s="157"/>
      <c r="H4" s="157"/>
    </row>
    <row r="5" spans="2:8" ht="15" customHeight="1">
      <c r="B5" s="87"/>
      <c r="C5" s="88" t="s">
        <v>136</v>
      </c>
      <c r="D5" s="98">
        <f>analyse_minerale!B17</f>
        <v>2.9</v>
      </c>
      <c r="E5" s="90" t="s">
        <v>33</v>
      </c>
      <c r="G5" s="157"/>
      <c r="H5" s="157"/>
    </row>
    <row r="6" spans="2:8" ht="15" customHeight="1">
      <c r="B6" s="91" t="s">
        <v>137</v>
      </c>
      <c r="C6" s="92"/>
      <c r="D6" s="89">
        <v>0.3</v>
      </c>
      <c r="E6" s="93" t="s">
        <v>138</v>
      </c>
      <c r="G6" s="157"/>
      <c r="H6" s="157"/>
    </row>
    <row r="7" spans="2:8" ht="15" customHeight="1">
      <c r="B7" s="94" t="s">
        <v>139</v>
      </c>
      <c r="C7" s="95"/>
      <c r="D7" s="96">
        <v>0.05</v>
      </c>
      <c r="E7" s="97"/>
      <c r="G7" s="157"/>
      <c r="H7" s="157"/>
    </row>
    <row r="8" spans="2:8" ht="15" customHeight="1">
      <c r="B8" s="87"/>
      <c r="C8" s="88"/>
      <c r="D8" s="98"/>
      <c r="E8" s="90"/>
    </row>
    <row r="9" spans="2:8" ht="15" customHeight="1">
      <c r="B9" s="99" t="s">
        <v>146</v>
      </c>
      <c r="C9" s="100" t="s">
        <v>20</v>
      </c>
      <c r="D9" s="100">
        <f>257.6-(2*D4)+(3.6*D3)+(29.9*D5)</f>
        <v>211.83000000000004</v>
      </c>
      <c r="E9" s="101" t="s">
        <v>140</v>
      </c>
    </row>
    <row r="10" spans="2:8">
      <c r="B10" s="94" t="s">
        <v>147</v>
      </c>
      <c r="C10" s="95" t="s">
        <v>20</v>
      </c>
      <c r="D10" s="95">
        <f>36+(5*D3)+(15.8*D5)</f>
        <v>102.82</v>
      </c>
      <c r="E10" s="97" t="s">
        <v>140</v>
      </c>
    </row>
    <row r="11" spans="2:8">
      <c r="B11" s="91"/>
      <c r="C11" s="92"/>
      <c r="D11" s="92"/>
      <c r="E11" s="93"/>
    </row>
    <row r="12" spans="2:8">
      <c r="B12" s="99" t="s">
        <v>141</v>
      </c>
      <c r="C12" s="100" t="s">
        <v>20</v>
      </c>
      <c r="D12" s="100">
        <f>D9-D10</f>
        <v>109.01000000000005</v>
      </c>
      <c r="E12" s="101" t="s">
        <v>142</v>
      </c>
      <c r="G12" s="102"/>
      <c r="H12" s="102"/>
    </row>
    <row r="13" spans="2:8">
      <c r="B13" s="87" t="s">
        <v>176</v>
      </c>
      <c r="C13" s="88" t="s">
        <v>20</v>
      </c>
      <c r="D13" s="103">
        <f>(D9-D10)*D6</f>
        <v>32.70300000000001</v>
      </c>
      <c r="E13" s="90" t="s">
        <v>142</v>
      </c>
      <c r="G13" s="102"/>
      <c r="H13" s="102"/>
    </row>
    <row r="14" spans="2:8">
      <c r="B14" s="91" t="s">
        <v>180</v>
      </c>
      <c r="C14" s="92" t="s">
        <v>20</v>
      </c>
      <c r="D14" s="31">
        <f>D13-(D7*D13)</f>
        <v>31.067850000000011</v>
      </c>
      <c r="E14" s="93" t="s">
        <v>142</v>
      </c>
      <c r="G14" s="102"/>
      <c r="H14" s="102"/>
    </row>
    <row r="15" spans="2:8">
      <c r="B15" s="87" t="s">
        <v>143</v>
      </c>
      <c r="C15" s="88" t="s">
        <v>20</v>
      </c>
      <c r="D15" s="103">
        <f>(1/3)*D14</f>
        <v>10.355950000000004</v>
      </c>
      <c r="E15" s="90" t="s">
        <v>142</v>
      </c>
      <c r="G15" s="102"/>
      <c r="H15" s="102"/>
    </row>
    <row r="16" spans="2:8">
      <c r="B16" s="91" t="s">
        <v>144</v>
      </c>
      <c r="C16" s="92" t="s">
        <v>20</v>
      </c>
      <c r="D16" s="31">
        <f>(2/3)*D14</f>
        <v>20.711900000000007</v>
      </c>
      <c r="E16" s="93" t="s">
        <v>142</v>
      </c>
      <c r="G16" s="102"/>
      <c r="H16" s="102"/>
    </row>
    <row r="17" spans="2:8">
      <c r="B17" s="94" t="s">
        <v>145</v>
      </c>
      <c r="C17" s="95" t="s">
        <v>20</v>
      </c>
      <c r="D17" s="130">
        <f>AVERAGE(D15:D16)</f>
        <v>15.533925000000005</v>
      </c>
      <c r="E17" s="97" t="s">
        <v>142</v>
      </c>
    </row>
    <row r="19" spans="2:8" ht="22" customHeight="1">
      <c r="G19" s="117"/>
      <c r="H19" s="117"/>
    </row>
    <row r="20" spans="2:8" ht="15" customHeight="1">
      <c r="G20" s="117"/>
      <c r="H20" s="117"/>
    </row>
    <row r="21" spans="2:8" ht="15" customHeight="1">
      <c r="G21" s="117"/>
      <c r="H21" s="117"/>
    </row>
    <row r="22" spans="2:8" ht="15" customHeight="1">
      <c r="G22" s="117"/>
      <c r="H22" s="117"/>
    </row>
    <row r="23" spans="2:8" ht="15" customHeight="1">
      <c r="G23" s="117"/>
      <c r="H23" s="117"/>
    </row>
    <row r="24" spans="2:8" ht="15" customHeight="1">
      <c r="G24" s="117"/>
      <c r="H24" s="117"/>
    </row>
    <row r="25" spans="2:8" ht="15" customHeight="1">
      <c r="G25" s="117"/>
      <c r="H25" s="117"/>
    </row>
  </sheetData>
  <mergeCells count="2">
    <mergeCell ref="B2:E2"/>
    <mergeCell ref="G2:H7"/>
  </mergeCells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11" sqref="D11"/>
    </sheetView>
  </sheetViews>
  <sheetFormatPr baseColWidth="10" defaultRowHeight="15" x14ac:dyDescent="0"/>
  <cols>
    <col min="3" max="3" width="19.83203125" customWidth="1"/>
  </cols>
  <sheetData>
    <row r="1" spans="1:9">
      <c r="A1" t="s">
        <v>24</v>
      </c>
      <c r="B1" t="s">
        <v>10</v>
      </c>
      <c r="C1" t="s">
        <v>2</v>
      </c>
      <c r="D1">
        <v>0.436</v>
      </c>
    </row>
    <row r="2" spans="1:9">
      <c r="A2" t="s">
        <v>23</v>
      </c>
      <c r="B2" t="s">
        <v>9</v>
      </c>
      <c r="C2" t="s">
        <v>2</v>
      </c>
      <c r="D2">
        <v>0.83</v>
      </c>
    </row>
    <row r="3" spans="1:9">
      <c r="A3" t="s">
        <v>0</v>
      </c>
      <c r="B3" t="s">
        <v>1</v>
      </c>
      <c r="C3" t="s">
        <v>2</v>
      </c>
      <c r="D3">
        <v>1.6579999999999999</v>
      </c>
    </row>
    <row r="4" spans="1:9">
      <c r="A4" t="s">
        <v>1</v>
      </c>
      <c r="B4" t="s">
        <v>0</v>
      </c>
      <c r="C4" t="s">
        <v>2</v>
      </c>
      <c r="D4">
        <v>0.60299999999999998</v>
      </c>
    </row>
    <row r="5" spans="1:9">
      <c r="A5" t="s">
        <v>3</v>
      </c>
      <c r="B5" t="s">
        <v>4</v>
      </c>
      <c r="C5" s="1" t="s">
        <v>2</v>
      </c>
      <c r="D5">
        <v>0.71499999999999997</v>
      </c>
    </row>
    <row r="7" spans="1:9">
      <c r="A7" t="s">
        <v>55</v>
      </c>
    </row>
    <row r="8" spans="1:9">
      <c r="A8" t="s">
        <v>56</v>
      </c>
      <c r="E8" s="158" t="s">
        <v>175</v>
      </c>
      <c r="F8" s="158"/>
      <c r="G8" s="158"/>
      <c r="H8" s="158"/>
      <c r="I8" s="158"/>
    </row>
    <row r="9" spans="1:9">
      <c r="A9" t="s">
        <v>57</v>
      </c>
      <c r="E9" s="158"/>
      <c r="F9" s="158"/>
      <c r="G9" s="158"/>
      <c r="H9" s="158"/>
      <c r="I9" s="158"/>
    </row>
    <row r="10" spans="1:9">
      <c r="E10" s="158"/>
      <c r="F10" s="158"/>
      <c r="G10" s="158"/>
      <c r="H10" s="158"/>
      <c r="I10" s="158"/>
    </row>
    <row r="11" spans="1:9">
      <c r="A11" t="s">
        <v>150</v>
      </c>
      <c r="E11" s="158"/>
      <c r="F11" s="158"/>
      <c r="G11" s="158"/>
      <c r="H11" s="158"/>
      <c r="I11" s="158"/>
    </row>
    <row r="12" spans="1:9">
      <c r="A12" t="s">
        <v>151</v>
      </c>
      <c r="E12" s="158"/>
      <c r="F12" s="158"/>
      <c r="G12" s="158"/>
      <c r="H12" s="158"/>
      <c r="I12" s="158"/>
    </row>
    <row r="13" spans="1:9">
      <c r="A13" t="s">
        <v>152</v>
      </c>
      <c r="E13" s="158"/>
      <c r="F13" s="158"/>
      <c r="G13" s="158"/>
      <c r="H13" s="158"/>
      <c r="I13" s="158"/>
    </row>
    <row r="14" spans="1:9">
      <c r="A14" t="s">
        <v>153</v>
      </c>
      <c r="E14" s="158"/>
      <c r="F14" s="158"/>
      <c r="G14" s="158"/>
      <c r="H14" s="158"/>
      <c r="I14" s="158"/>
    </row>
    <row r="15" spans="1:9">
      <c r="A15" t="s">
        <v>154</v>
      </c>
      <c r="E15" s="158"/>
      <c r="F15" s="158"/>
      <c r="G15" s="158"/>
      <c r="H15" s="158"/>
      <c r="I15" s="158"/>
    </row>
    <row r="16" spans="1:9">
      <c r="A16" t="s">
        <v>155</v>
      </c>
      <c r="E16" s="158"/>
      <c r="F16" s="158"/>
      <c r="G16" s="158"/>
      <c r="H16" s="158"/>
      <c r="I16" s="158"/>
    </row>
    <row r="17" spans="1:9">
      <c r="A17" t="s">
        <v>156</v>
      </c>
      <c r="E17" s="158"/>
      <c r="F17" s="158"/>
      <c r="G17" s="158"/>
      <c r="H17" s="158"/>
      <c r="I17" s="158"/>
    </row>
    <row r="18" spans="1:9">
      <c r="A18" t="s">
        <v>154</v>
      </c>
      <c r="E18" s="158"/>
      <c r="F18" s="158"/>
      <c r="G18" s="158"/>
      <c r="H18" s="158"/>
      <c r="I18" s="158"/>
    </row>
    <row r="19" spans="1:9">
      <c r="A19" t="s">
        <v>157</v>
      </c>
      <c r="E19" s="158"/>
      <c r="F19" s="158"/>
      <c r="G19" s="158"/>
      <c r="H19" s="158"/>
      <c r="I19" s="158"/>
    </row>
    <row r="20" spans="1:9">
      <c r="A20" t="s">
        <v>158</v>
      </c>
    </row>
    <row r="21" spans="1:9">
      <c r="A21" t="s">
        <v>159</v>
      </c>
    </row>
    <row r="22" spans="1:9">
      <c r="A22" t="s">
        <v>160</v>
      </c>
    </row>
    <row r="23" spans="1:9">
      <c r="A23" t="s">
        <v>161</v>
      </c>
    </row>
    <row r="24" spans="1:9">
      <c r="A24" t="s">
        <v>162</v>
      </c>
    </row>
    <row r="25" spans="1:9">
      <c r="A25" t="s">
        <v>163</v>
      </c>
    </row>
    <row r="26" spans="1:9">
      <c r="A26" t="s">
        <v>164</v>
      </c>
    </row>
    <row r="27" spans="1:9">
      <c r="A27" t="s">
        <v>165</v>
      </c>
    </row>
    <row r="28" spans="1:9">
      <c r="A28" t="s">
        <v>166</v>
      </c>
    </row>
  </sheetData>
  <mergeCells count="1">
    <mergeCell ref="E8:I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table_information</vt:lpstr>
      <vt:lpstr>analyse_minerale</vt:lpstr>
      <vt:lpstr>analyse_biologique</vt:lpstr>
      <vt:lpstr>irrigation</vt:lpstr>
      <vt:lpstr>table_echange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</dc:creator>
  <cp:lastModifiedBy>Marin</cp:lastModifiedBy>
  <dcterms:created xsi:type="dcterms:W3CDTF">2017-06-28T13:24:57Z</dcterms:created>
  <dcterms:modified xsi:type="dcterms:W3CDTF">2018-10-01T12:42:01Z</dcterms:modified>
</cp:coreProperties>
</file>